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W:\Srvln\DE\Dayton\Clients\ODOT\10019740_ROS-772-0764\118518\400-Engineering\Structures\SFN_7105363\Spreadsheets\"/>
    </mc:Choice>
  </mc:AlternateContent>
  <xr:revisionPtr revIDLastSave="0" documentId="13_ncr:1_{4BF4C590-9F52-483E-BEDB-79764D10A468}" xr6:coauthVersionLast="47" xr6:coauthVersionMax="47" xr10:uidLastSave="{00000000-0000-0000-0000-000000000000}"/>
  <bookViews>
    <workbookView xWindow="-108" yWindow="-108" windowWidth="23256" windowHeight="12576" tabRatio="617" activeTab="2" xr2:uid="{50AD0AEE-815F-46A7-974F-983205323BBD}"/>
  </bookViews>
  <sheets>
    <sheet name="Stage 2" sheetId="17" r:id="rId1"/>
    <sheet name="Stage 3" sheetId="21" r:id="rId2"/>
    <sheet name="AutoTable" sheetId="20" r:id="rId3"/>
  </sheets>
  <definedNames>
    <definedName name="_xlnm.Print_Area" localSheetId="0">'Stage 2'!$B$12:$O$413</definedName>
    <definedName name="_xlnm.Print_Area" localSheetId="1">'Stage 3'!$B$12:$O$402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4" i="20" l="1"/>
  <c r="E44" i="20"/>
  <c r="D44" i="20"/>
  <c r="C44" i="20"/>
  <c r="B44" i="20"/>
  <c r="F42" i="20"/>
  <c r="E42" i="20"/>
  <c r="D42" i="20"/>
  <c r="C42" i="20"/>
  <c r="B42" i="20"/>
  <c r="F40" i="20"/>
  <c r="E40" i="20"/>
  <c r="D40" i="20"/>
  <c r="C40" i="20"/>
  <c r="B40" i="20"/>
  <c r="F39" i="20"/>
  <c r="E39" i="20"/>
  <c r="D39" i="20"/>
  <c r="C39" i="20"/>
  <c r="B39" i="20"/>
  <c r="F37" i="20"/>
  <c r="E37" i="20"/>
  <c r="D37" i="20"/>
  <c r="C37" i="20"/>
  <c r="B37" i="20"/>
  <c r="F36" i="20"/>
  <c r="E36" i="20"/>
  <c r="D36" i="20"/>
  <c r="C36" i="20"/>
  <c r="B36" i="20"/>
  <c r="F35" i="20"/>
  <c r="E35" i="20"/>
  <c r="D35" i="20"/>
  <c r="C35" i="20"/>
  <c r="B35" i="20"/>
  <c r="F33" i="20"/>
  <c r="E33" i="20"/>
  <c r="D33" i="20"/>
  <c r="C33" i="20"/>
  <c r="B33" i="20"/>
  <c r="F31" i="20"/>
  <c r="E31" i="20"/>
  <c r="D31" i="20"/>
  <c r="C31" i="20"/>
  <c r="B31" i="20"/>
  <c r="F30" i="20"/>
  <c r="E30" i="20"/>
  <c r="D30" i="20"/>
  <c r="C30" i="20"/>
  <c r="B30" i="20"/>
  <c r="F29" i="20"/>
  <c r="E29" i="20"/>
  <c r="D29" i="20"/>
  <c r="C29" i="20"/>
  <c r="B29" i="20"/>
  <c r="F28" i="20"/>
  <c r="E28" i="20"/>
  <c r="D28" i="20"/>
  <c r="C28" i="20"/>
  <c r="B28" i="20"/>
  <c r="F27" i="20"/>
  <c r="E27" i="20"/>
  <c r="D27" i="20"/>
  <c r="C27" i="20"/>
  <c r="B27" i="20"/>
  <c r="F25" i="20"/>
  <c r="E25" i="20"/>
  <c r="D25" i="20"/>
  <c r="C25" i="20"/>
  <c r="B25" i="20"/>
  <c r="F24" i="20"/>
  <c r="E24" i="20"/>
  <c r="D24" i="20"/>
  <c r="C24" i="20"/>
  <c r="B24" i="20"/>
  <c r="F22" i="20"/>
  <c r="E22" i="20"/>
  <c r="D22" i="20"/>
  <c r="C22" i="20"/>
  <c r="B22" i="20"/>
  <c r="F20" i="20"/>
  <c r="E20" i="20"/>
  <c r="D20" i="20"/>
  <c r="C20" i="20"/>
  <c r="B20" i="20"/>
  <c r="F19" i="20"/>
  <c r="E19" i="20"/>
  <c r="D19" i="20"/>
  <c r="C19" i="20"/>
  <c r="B19" i="20"/>
  <c r="F17" i="20"/>
  <c r="E17" i="20"/>
  <c r="D17" i="20"/>
  <c r="C17" i="20"/>
  <c r="B17" i="20"/>
  <c r="F15" i="20"/>
  <c r="E15" i="20"/>
  <c r="D15" i="20"/>
  <c r="C15" i="20"/>
  <c r="B15" i="20"/>
  <c r="F14" i="20"/>
  <c r="E14" i="20"/>
  <c r="D14" i="20"/>
  <c r="C14" i="20"/>
  <c r="B14" i="20"/>
  <c r="F12" i="20"/>
  <c r="E12" i="20"/>
  <c r="D12" i="20"/>
  <c r="C12" i="20"/>
  <c r="B12" i="20"/>
  <c r="F11" i="20"/>
  <c r="E11" i="20"/>
  <c r="D11" i="20"/>
  <c r="C11" i="20"/>
  <c r="B11" i="20"/>
  <c r="F9" i="20"/>
  <c r="E9" i="20"/>
  <c r="D9" i="20"/>
  <c r="C9" i="20"/>
  <c r="B9" i="20"/>
  <c r="F7" i="20"/>
  <c r="E7" i="20"/>
  <c r="D7" i="20"/>
  <c r="C7" i="20"/>
  <c r="B7" i="20"/>
  <c r="F6" i="20"/>
  <c r="E6" i="20"/>
  <c r="D6" i="20"/>
  <c r="C6" i="20"/>
  <c r="B6" i="20"/>
  <c r="D170" i="21"/>
  <c r="O54" i="21"/>
  <c r="D349" i="21"/>
  <c r="D396" i="21"/>
  <c r="D395" i="21"/>
  <c r="D388" i="21"/>
  <c r="D381" i="21"/>
  <c r="I362" i="21"/>
  <c r="I364" i="21" s="1"/>
  <c r="I355" i="21"/>
  <c r="I357" i="21" s="1"/>
  <c r="D362" i="21"/>
  <c r="D364" i="21" s="1"/>
  <c r="D355" i="21"/>
  <c r="D357" i="21"/>
  <c r="D342" i="21"/>
  <c r="D310" i="21"/>
  <c r="D309" i="21"/>
  <c r="D238" i="21"/>
  <c r="I237" i="21"/>
  <c r="I238" i="21" s="1"/>
  <c r="D201" i="21"/>
  <c r="D190" i="21"/>
  <c r="D398" i="21"/>
  <c r="D400" i="21" s="1"/>
  <c r="D401" i="21" s="1"/>
  <c r="F394" i="21"/>
  <c r="E394" i="21"/>
  <c r="D394" i="21"/>
  <c r="C394" i="21"/>
  <c r="B394" i="21"/>
  <c r="D389" i="21"/>
  <c r="D390" i="21"/>
  <c r="D392" i="21" s="1"/>
  <c r="F387" i="21"/>
  <c r="E387" i="21"/>
  <c r="D387" i="21"/>
  <c r="C387" i="21"/>
  <c r="B387" i="21"/>
  <c r="D382" i="21"/>
  <c r="D384" i="21" s="1"/>
  <c r="D385" i="21" s="1"/>
  <c r="F380" i="21"/>
  <c r="E380" i="21"/>
  <c r="D380" i="21"/>
  <c r="C380" i="21"/>
  <c r="B380" i="21"/>
  <c r="D378" i="21"/>
  <c r="F374" i="21"/>
  <c r="E374" i="21"/>
  <c r="D374" i="21"/>
  <c r="C374" i="21"/>
  <c r="B374" i="21"/>
  <c r="D372" i="21"/>
  <c r="F369" i="21"/>
  <c r="E369" i="21"/>
  <c r="D369" i="21"/>
  <c r="C369" i="21"/>
  <c r="B369" i="21"/>
  <c r="D346" i="21"/>
  <c r="D347" i="21" s="1"/>
  <c r="F344" i="21"/>
  <c r="E344" i="21"/>
  <c r="C344" i="21"/>
  <c r="B344" i="21"/>
  <c r="F336" i="21"/>
  <c r="E336" i="21"/>
  <c r="D336" i="21"/>
  <c r="C336" i="21"/>
  <c r="B336" i="21"/>
  <c r="F330" i="21"/>
  <c r="E330" i="21"/>
  <c r="C330" i="21"/>
  <c r="B330" i="21"/>
  <c r="D328" i="21"/>
  <c r="D323" i="21"/>
  <c r="D324" i="21" s="1"/>
  <c r="F321" i="21"/>
  <c r="E321" i="21"/>
  <c r="D321" i="21"/>
  <c r="C321" i="21"/>
  <c r="B321" i="21"/>
  <c r="D315" i="21"/>
  <c r="D319" i="21" s="1"/>
  <c r="F314" i="21"/>
  <c r="E314" i="21"/>
  <c r="D314" i="21"/>
  <c r="C314" i="21"/>
  <c r="B314" i="21"/>
  <c r="D306" i="21"/>
  <c r="D312" i="21" s="1"/>
  <c r="F305" i="21"/>
  <c r="E305" i="21"/>
  <c r="D305" i="21"/>
  <c r="C305" i="21"/>
  <c r="B305" i="21"/>
  <c r="D300" i="21"/>
  <c r="D303" i="21" s="1"/>
  <c r="F299" i="21"/>
  <c r="E299" i="21"/>
  <c r="D299" i="21"/>
  <c r="C299" i="21"/>
  <c r="B299" i="21"/>
  <c r="D293" i="21"/>
  <c r="F292" i="21"/>
  <c r="E292" i="21"/>
  <c r="C292" i="21"/>
  <c r="B292" i="21"/>
  <c r="D288" i="21"/>
  <c r="F287" i="21"/>
  <c r="E287" i="21"/>
  <c r="C287" i="21"/>
  <c r="B287" i="21"/>
  <c r="D278" i="21"/>
  <c r="D280" i="21" s="1"/>
  <c r="D272" i="21"/>
  <c r="D268" i="21"/>
  <c r="D270" i="21" s="1"/>
  <c r="D267" i="21"/>
  <c r="D271" i="21" s="1"/>
  <c r="D260" i="21"/>
  <c r="D261" i="21" s="1"/>
  <c r="F256" i="21"/>
  <c r="E256" i="21"/>
  <c r="C256" i="21"/>
  <c r="B256" i="21"/>
  <c r="I249" i="21"/>
  <c r="D249" i="21"/>
  <c r="I248" i="21"/>
  <c r="I250" i="21" s="1"/>
  <c r="D248" i="21"/>
  <c r="D250" i="21" s="1"/>
  <c r="I232" i="21"/>
  <c r="I252" i="21" s="1"/>
  <c r="D232" i="21"/>
  <c r="D252" i="21" s="1"/>
  <c r="D254" i="21" s="1"/>
  <c r="F226" i="21"/>
  <c r="E226" i="21"/>
  <c r="D226" i="21"/>
  <c r="C226" i="21"/>
  <c r="B226" i="21"/>
  <c r="D216" i="21"/>
  <c r="D208" i="21"/>
  <c r="D210" i="21" s="1"/>
  <c r="D203" i="21"/>
  <c r="D198" i="21"/>
  <c r="D195" i="21"/>
  <c r="D194" i="21"/>
  <c r="D193" i="21"/>
  <c r="D199" i="21" s="1"/>
  <c r="F192" i="21"/>
  <c r="E192" i="21"/>
  <c r="C192" i="21"/>
  <c r="B192" i="21"/>
  <c r="F181" i="21"/>
  <c r="E181" i="21"/>
  <c r="C181" i="21"/>
  <c r="B181" i="21"/>
  <c r="D176" i="21"/>
  <c r="D171" i="21"/>
  <c r="D179" i="21" s="1"/>
  <c r="F167" i="21"/>
  <c r="E167" i="21"/>
  <c r="D167" i="21"/>
  <c r="C167" i="21"/>
  <c r="B167" i="21"/>
  <c r="D163" i="21"/>
  <c r="D165" i="21" s="1"/>
  <c r="F159" i="21"/>
  <c r="E159" i="21"/>
  <c r="D159" i="21"/>
  <c r="C159" i="21"/>
  <c r="B159" i="21"/>
  <c r="F157" i="21"/>
  <c r="E157" i="21"/>
  <c r="C157" i="21"/>
  <c r="B157" i="21"/>
  <c r="D145" i="21"/>
  <c r="D144" i="21"/>
  <c r="D146" i="21" s="1"/>
  <c r="D131" i="21"/>
  <c r="D130" i="21"/>
  <c r="D132" i="21" s="1"/>
  <c r="F121" i="21"/>
  <c r="E121" i="21"/>
  <c r="C121" i="21"/>
  <c r="B121" i="21"/>
  <c r="D111" i="21"/>
  <c r="D107" i="21"/>
  <c r="D100" i="21"/>
  <c r="D96" i="21"/>
  <c r="F92" i="21"/>
  <c r="E92" i="21"/>
  <c r="C92" i="21"/>
  <c r="B92" i="21"/>
  <c r="D89" i="21"/>
  <c r="D90" i="21" s="1"/>
  <c r="F84" i="21"/>
  <c r="E84" i="21"/>
  <c r="D84" i="21"/>
  <c r="C84" i="21"/>
  <c r="B84" i="21"/>
  <c r="D75" i="21"/>
  <c r="D68" i="21"/>
  <c r="D218" i="21" s="1"/>
  <c r="D219" i="21" s="1"/>
  <c r="D52" i="21"/>
  <c r="D50" i="21"/>
  <c r="D49" i="21"/>
  <c r="D47" i="21"/>
  <c r="D46" i="21"/>
  <c r="D43" i="21"/>
  <c r="D40" i="21"/>
  <c r="D39" i="21"/>
  <c r="D38" i="21"/>
  <c r="D37" i="21"/>
  <c r="D30" i="21"/>
  <c r="D25" i="21"/>
  <c r="D24" i="21"/>
  <c r="O22" i="21"/>
  <c r="O21" i="21"/>
  <c r="D16" i="21"/>
  <c r="O15" i="21"/>
  <c r="N13" i="21"/>
  <c r="N12" i="21"/>
  <c r="D190" i="17"/>
  <c r="D192" i="17"/>
  <c r="D100" i="17"/>
  <c r="D111" i="17"/>
  <c r="D350" i="21" l="1"/>
  <c r="D204" i="21"/>
  <c r="D205" i="21"/>
  <c r="D212" i="21" s="1"/>
  <c r="D214" i="21" s="1"/>
  <c r="O16" i="21"/>
  <c r="O24" i="21"/>
  <c r="O25" i="21"/>
  <c r="O30" i="21"/>
  <c r="O37" i="21"/>
  <c r="O38" i="21"/>
  <c r="O39" i="21"/>
  <c r="O40" i="21"/>
  <c r="O43" i="21"/>
  <c r="O46" i="21"/>
  <c r="O47" i="21"/>
  <c r="O49" i="21"/>
  <c r="O50" i="21"/>
  <c r="O52" i="21"/>
  <c r="D102" i="21"/>
  <c r="D133" i="21"/>
  <c r="D147" i="21" s="1"/>
  <c r="D113" i="21"/>
  <c r="D135" i="21"/>
  <c r="D149" i="21"/>
  <c r="D217" i="21"/>
  <c r="D220" i="21" s="1"/>
  <c r="D222" i="21" s="1"/>
  <c r="D273" i="21"/>
  <c r="D276" i="21" s="1"/>
  <c r="D282" i="21" s="1"/>
  <c r="D284" i="21" s="1"/>
  <c r="D285" i="21" s="1"/>
  <c r="D256" i="21" s="1"/>
  <c r="D32" i="21" s="1"/>
  <c r="D331" i="21"/>
  <c r="D334" i="21" s="1"/>
  <c r="D330" i="21" s="1"/>
  <c r="D41" i="21" s="1"/>
  <c r="D294" i="21"/>
  <c r="D290" i="21"/>
  <c r="D287" i="21" s="1"/>
  <c r="D34" i="21" s="1"/>
  <c r="D297" i="21"/>
  <c r="D292" i="21" s="1"/>
  <c r="D35" i="21" s="1"/>
  <c r="D366" i="21" l="1"/>
  <c r="D367" i="21" s="1"/>
  <c r="D344" i="21" s="1"/>
  <c r="D45" i="21" s="1"/>
  <c r="O35" i="21"/>
  <c r="O41" i="21"/>
  <c r="O32" i="21"/>
  <c r="D224" i="21"/>
  <c r="D192" i="21" s="1"/>
  <c r="D29" i="21" s="1"/>
  <c r="D181" i="21"/>
  <c r="D27" i="21" s="1"/>
  <c r="D151" i="21"/>
  <c r="D115" i="21"/>
  <c r="O45" i="21" l="1"/>
  <c r="O27" i="21"/>
  <c r="O29" i="21"/>
  <c r="D116" i="21"/>
  <c r="D118" i="21" s="1"/>
  <c r="D119" i="21" s="1"/>
  <c r="D92" i="21" s="1"/>
  <c r="D18" i="21" s="1"/>
  <c r="D152" i="21"/>
  <c r="D154" i="21" s="1"/>
  <c r="D155" i="21" s="1"/>
  <c r="D121" i="21" s="1"/>
  <c r="D19" i="21" s="1"/>
  <c r="O19" i="21" l="1"/>
  <c r="O18" i="21"/>
  <c r="O56" i="21"/>
  <c r="D179" i="17" l="1"/>
  <c r="D184" i="17"/>
  <c r="D146" i="17"/>
  <c r="D145" i="17"/>
  <c r="D132" i="17"/>
  <c r="D131" i="17"/>
  <c r="D133" i="17" s="1"/>
  <c r="D112" i="17"/>
  <c r="D101" i="17"/>
  <c r="D103" i="17" s="1"/>
  <c r="B377" i="17"/>
  <c r="C377" i="17"/>
  <c r="F377" i="17"/>
  <c r="D326" i="17"/>
  <c r="D330" i="17" s="1"/>
  <c r="D314" i="17"/>
  <c r="D317" i="17" s="1"/>
  <c r="D313" i="17" s="1"/>
  <c r="D38" i="17" s="1"/>
  <c r="O38" i="17" s="1"/>
  <c r="D320" i="17"/>
  <c r="D323" i="17" s="1"/>
  <c r="D319" i="17" s="1"/>
  <c r="D39" i="17" s="1"/>
  <c r="O39" i="17" s="1"/>
  <c r="F325" i="17"/>
  <c r="E325" i="17"/>
  <c r="C325" i="17"/>
  <c r="B325" i="17"/>
  <c r="F319" i="17"/>
  <c r="E319" i="17"/>
  <c r="C319" i="17"/>
  <c r="B319" i="17"/>
  <c r="F313" i="17"/>
  <c r="E313" i="17"/>
  <c r="C313" i="17"/>
  <c r="B313" i="17"/>
  <c r="D353" i="17"/>
  <c r="D282" i="17"/>
  <c r="D281" i="17"/>
  <c r="D361" i="17"/>
  <c r="I263" i="17"/>
  <c r="I262" i="17"/>
  <c r="D262" i="17"/>
  <c r="D263" i="17"/>
  <c r="D187" i="17" l="1"/>
  <c r="D147" i="17"/>
  <c r="I264" i="17"/>
  <c r="D114" i="17"/>
  <c r="D134" i="17"/>
  <c r="D148" i="17" s="1"/>
  <c r="D136" i="17"/>
  <c r="D264" i="17"/>
  <c r="D391" i="17"/>
  <c r="D69" i="17"/>
  <c r="D233" i="17" s="1"/>
  <c r="D234" i="17" s="1"/>
  <c r="D150" i="17" l="1"/>
  <c r="D152" i="17" s="1"/>
  <c r="D153" i="17" s="1"/>
  <c r="C160" i="17"/>
  <c r="E160" i="17"/>
  <c r="F160" i="17"/>
  <c r="B160" i="17"/>
  <c r="D164" i="17"/>
  <c r="D165" i="17" s="1"/>
  <c r="D160" i="17" s="1"/>
  <c r="D23" i="17" s="1"/>
  <c r="O23" i="17" s="1"/>
  <c r="C406" i="17" l="1"/>
  <c r="E406" i="17"/>
  <c r="F406" i="17"/>
  <c r="B406" i="17"/>
  <c r="F175" i="17" l="1"/>
  <c r="E175" i="17"/>
  <c r="C175" i="17"/>
  <c r="B175" i="17"/>
  <c r="D175" i="17"/>
  <c r="D26" i="17" s="1"/>
  <c r="O22" i="17"/>
  <c r="O21" i="17"/>
  <c r="O26" i="17" l="1"/>
  <c r="O15" i="17"/>
  <c r="D307" i="17" l="1"/>
  <c r="F306" i="17"/>
  <c r="E306" i="17"/>
  <c r="C306" i="17"/>
  <c r="B306" i="17"/>
  <c r="D231" i="17"/>
  <c r="D223" i="17"/>
  <c r="D225" i="17" s="1"/>
  <c r="D218" i="17"/>
  <c r="D215" i="17"/>
  <c r="D212" i="17"/>
  <c r="D209" i="17"/>
  <c r="D208" i="17"/>
  <c r="D207" i="17"/>
  <c r="D216" i="17"/>
  <c r="D76" i="17"/>
  <c r="D401" i="17"/>
  <c r="D403" i="17" s="1"/>
  <c r="D404" i="17" s="1"/>
  <c r="D397" i="17" s="1"/>
  <c r="D53" i="17" s="1"/>
  <c r="F397" i="17"/>
  <c r="E397" i="17"/>
  <c r="C397" i="17"/>
  <c r="B397" i="17"/>
  <c r="D392" i="17"/>
  <c r="F390" i="17"/>
  <c r="E390" i="17"/>
  <c r="C390" i="17"/>
  <c r="B390" i="17"/>
  <c r="D385" i="17"/>
  <c r="F383" i="17"/>
  <c r="E383" i="17"/>
  <c r="C383" i="17"/>
  <c r="B383" i="17"/>
  <c r="D381" i="17"/>
  <c r="D377" i="17" s="1"/>
  <c r="D48" i="17" s="1"/>
  <c r="E377" i="17"/>
  <c r="D375" i="17"/>
  <c r="D372" i="17" s="1"/>
  <c r="D47" i="17" s="1"/>
  <c r="F372" i="17"/>
  <c r="E372" i="17"/>
  <c r="C372" i="17"/>
  <c r="B372" i="17"/>
  <c r="D362" i="17"/>
  <c r="D364" i="17" s="1"/>
  <c r="D354" i="17"/>
  <c r="D357" i="17" s="1"/>
  <c r="F351" i="17"/>
  <c r="E351" i="17"/>
  <c r="C351" i="17"/>
  <c r="B351" i="17"/>
  <c r="D347" i="17"/>
  <c r="D44" i="17" s="1"/>
  <c r="F347" i="17"/>
  <c r="E347" i="17"/>
  <c r="C347" i="17"/>
  <c r="B347" i="17"/>
  <c r="F341" i="17"/>
  <c r="E341" i="17"/>
  <c r="C341" i="17"/>
  <c r="B341" i="17"/>
  <c r="D339" i="17"/>
  <c r="D334" i="17"/>
  <c r="D335" i="17" s="1"/>
  <c r="F332" i="17"/>
  <c r="E332" i="17"/>
  <c r="C332" i="17"/>
  <c r="B332" i="17"/>
  <c r="D302" i="17"/>
  <c r="D308" i="17" s="1"/>
  <c r="F301" i="17"/>
  <c r="E301" i="17"/>
  <c r="C301" i="17"/>
  <c r="B301" i="17"/>
  <c r="D292" i="17"/>
  <c r="D294" i="17" s="1"/>
  <c r="D286" i="17"/>
  <c r="D285" i="17"/>
  <c r="D284" i="17"/>
  <c r="D274" i="17"/>
  <c r="D275" i="17" s="1"/>
  <c r="F270" i="17"/>
  <c r="E270" i="17"/>
  <c r="C270" i="17"/>
  <c r="B270" i="17"/>
  <c r="I252" i="17"/>
  <c r="D252" i="17"/>
  <c r="D194" i="17" s="1"/>
  <c r="D196" i="17" s="1"/>
  <c r="I247" i="17"/>
  <c r="D247" i="17"/>
  <c r="D198" i="17" s="1"/>
  <c r="D200" i="17" s="1"/>
  <c r="F241" i="17"/>
  <c r="E241" i="17"/>
  <c r="C241" i="17"/>
  <c r="B241" i="17"/>
  <c r="F206" i="17"/>
  <c r="E206" i="17"/>
  <c r="C206" i="17"/>
  <c r="B206" i="17"/>
  <c r="F189" i="17"/>
  <c r="E189" i="17"/>
  <c r="C189" i="17"/>
  <c r="B189" i="17"/>
  <c r="D171" i="17"/>
  <c r="D173" i="17" s="1"/>
  <c r="D167" i="17" s="1"/>
  <c r="D25" i="17" s="1"/>
  <c r="F167" i="17"/>
  <c r="E167" i="17"/>
  <c r="C167" i="17"/>
  <c r="B167" i="17"/>
  <c r="F158" i="17"/>
  <c r="E158" i="17"/>
  <c r="C158" i="17"/>
  <c r="B158" i="17"/>
  <c r="F122" i="17"/>
  <c r="E122" i="17"/>
  <c r="C122" i="17"/>
  <c r="B122" i="17"/>
  <c r="D108" i="17"/>
  <c r="D97" i="17"/>
  <c r="F93" i="17"/>
  <c r="E93" i="17"/>
  <c r="C93" i="17"/>
  <c r="B93" i="17"/>
  <c r="D90" i="17"/>
  <c r="D91" i="17" s="1"/>
  <c r="D85" i="17" s="1"/>
  <c r="D16" i="17" s="1"/>
  <c r="F85" i="17"/>
  <c r="E85" i="17"/>
  <c r="C85" i="17"/>
  <c r="B85" i="17"/>
  <c r="N13" i="17"/>
  <c r="N12" i="17"/>
  <c r="D202" i="17" l="1"/>
  <c r="D204" i="17" s="1"/>
  <c r="D332" i="17"/>
  <c r="D41" i="17" s="1"/>
  <c r="O41" i="17" s="1"/>
  <c r="D325" i="17"/>
  <c r="D40" i="17" s="1"/>
  <c r="O40" i="17" s="1"/>
  <c r="D232" i="17"/>
  <c r="D235" i="17" s="1"/>
  <c r="D287" i="17"/>
  <c r="D290" i="17" s="1"/>
  <c r="D296" i="17" s="1"/>
  <c r="D298" i="17" s="1"/>
  <c r="D387" i="17"/>
  <c r="D388" i="17" s="1"/>
  <c r="D383" i="17" s="1"/>
  <c r="D50" i="17" s="1"/>
  <c r="D213" i="17"/>
  <c r="O16" i="17"/>
  <c r="O25" i="17"/>
  <c r="O44" i="17"/>
  <c r="O47" i="17"/>
  <c r="O48" i="17"/>
  <c r="O53" i="17"/>
  <c r="D219" i="17"/>
  <c r="D220" i="17" s="1"/>
  <c r="D227" i="17" s="1"/>
  <c r="D229" i="17" s="1"/>
  <c r="D393" i="17"/>
  <c r="D116" i="17"/>
  <c r="D117" i="17" s="1"/>
  <c r="D119" i="17" s="1"/>
  <c r="D120" i="17" s="1"/>
  <c r="D93" i="17" s="1"/>
  <c r="D18" i="17" s="1"/>
  <c r="D366" i="17"/>
  <c r="D369" i="17" s="1"/>
  <c r="D370" i="17" s="1"/>
  <c r="D351" i="17" s="1"/>
  <c r="D46" i="17" s="1"/>
  <c r="D266" i="17"/>
  <c r="I266" i="17"/>
  <c r="D311" i="17"/>
  <c r="D306" i="17" s="1"/>
  <c r="D36" i="17" s="1"/>
  <c r="D155" i="17"/>
  <c r="D156" i="17" s="1"/>
  <c r="D122" i="17" s="1"/>
  <c r="D19" i="17" s="1"/>
  <c r="D342" i="17"/>
  <c r="D345" i="17" s="1"/>
  <c r="D341" i="17" s="1"/>
  <c r="D42" i="17" s="1"/>
  <c r="D304" i="17"/>
  <c r="D301" i="17" s="1"/>
  <c r="O50" i="17" l="1"/>
  <c r="D237" i="17"/>
  <c r="O42" i="17"/>
  <c r="O19" i="17"/>
  <c r="O18" i="17"/>
  <c r="O36" i="17"/>
  <c r="O46" i="17"/>
  <c r="D299" i="17"/>
  <c r="D270" i="17" s="1"/>
  <c r="D33" i="17" s="1"/>
  <c r="D395" i="17"/>
  <c r="D390" i="17" s="1"/>
  <c r="D51" i="17" s="1"/>
  <c r="D410" i="17"/>
  <c r="D413" i="17" s="1"/>
  <c r="D406" i="17" s="1"/>
  <c r="D55" i="17" s="1"/>
  <c r="D268" i="17"/>
  <c r="D241" i="17" s="1"/>
  <c r="D31" i="17" s="1"/>
  <c r="D35" i="17"/>
  <c r="D239" i="17" l="1"/>
  <c r="D206" i="17" s="1"/>
  <c r="D30" i="17" s="1"/>
  <c r="O30" i="17" s="1"/>
  <c r="D189" i="17"/>
  <c r="D28" i="17" s="1"/>
  <c r="O31" i="17"/>
  <c r="O55" i="17"/>
  <c r="O51" i="17"/>
  <c r="O33" i="17"/>
  <c r="O28" i="17" l="1"/>
  <c r="O57" i="17" s="1"/>
</calcChain>
</file>

<file path=xl/sharedStrings.xml><?xml version="1.0" encoding="utf-8"?>
<sst xmlns="http://schemas.openxmlformats.org/spreadsheetml/2006/main" count="1357" uniqueCount="307">
  <si>
    <t>One Easton Oval</t>
  </si>
  <si>
    <t>Suite 400</t>
  </si>
  <si>
    <t>Columbus, OH 43219</t>
  </si>
  <si>
    <t>614-476-6000</t>
  </si>
  <si>
    <t>Calculated By:</t>
  </si>
  <si>
    <t>Date:</t>
  </si>
  <si>
    <t>Job No.:</t>
  </si>
  <si>
    <t>SFN:</t>
  </si>
  <si>
    <t>Checked By:</t>
  </si>
  <si>
    <t>Bridge No.:</t>
  </si>
  <si>
    <t>Project:</t>
  </si>
  <si>
    <t>BRO-221</t>
  </si>
  <si>
    <t>CALC BY:</t>
  </si>
  <si>
    <t>CHECK BY:</t>
  </si>
  <si>
    <t>ITEM</t>
  </si>
  <si>
    <t>EXT</t>
  </si>
  <si>
    <t>QUANTITY</t>
  </si>
  <si>
    <t>UNIT</t>
  </si>
  <si>
    <t>DESCRIPTION</t>
  </si>
  <si>
    <t>UNIT COST</t>
  </si>
  <si>
    <t>TOTAL COST</t>
  </si>
  <si>
    <t>10000</t>
  </si>
  <si>
    <t>LB</t>
  </si>
  <si>
    <t>FT</t>
  </si>
  <si>
    <t>CY</t>
  </si>
  <si>
    <t>SY</t>
  </si>
  <si>
    <t>SEALING OF CONCRETE SURFACES (EPOXY-URETHANE)</t>
  </si>
  <si>
    <t>EACH</t>
  </si>
  <si>
    <t>TYPE A INSTALLATION</t>
  </si>
  <si>
    <t>00110</t>
  </si>
  <si>
    <t>CF</t>
  </si>
  <si>
    <t>POLYMER MODIFIED ASPHALT EXPANSION JOINT SYSTEM</t>
  </si>
  <si>
    <t>TOTAL</t>
  </si>
  <si>
    <t xml:space="preserve">deck </t>
  </si>
  <si>
    <t>ft</t>
  </si>
  <si>
    <t>deck length</t>
  </si>
  <si>
    <t>deck width</t>
  </si>
  <si>
    <t>ea</t>
  </si>
  <si>
    <t>lb</t>
  </si>
  <si>
    <t>in</t>
  </si>
  <si>
    <t>diaphragms</t>
  </si>
  <si>
    <t>cu ft</t>
  </si>
  <si>
    <t>lb/cu ft</t>
  </si>
  <si>
    <t>factor</t>
  </si>
  <si>
    <t>total</t>
  </si>
  <si>
    <t>deck thickness</t>
  </si>
  <si>
    <t>length</t>
  </si>
  <si>
    <t>width</t>
  </si>
  <si>
    <t>haunch width</t>
  </si>
  <si>
    <t>haunches</t>
  </si>
  <si>
    <t>deck subtotal</t>
  </si>
  <si>
    <t>abutment</t>
  </si>
  <si>
    <t>volume per abutment</t>
  </si>
  <si>
    <t>number of abutments</t>
  </si>
  <si>
    <t>total abutment diaphragm volume</t>
  </si>
  <si>
    <t>overhang</t>
  </si>
  <si>
    <t>edge thickness</t>
  </si>
  <si>
    <t>overhang extra depth</t>
  </si>
  <si>
    <t>overhang total width</t>
  </si>
  <si>
    <t>width excluding haunch</t>
  </si>
  <si>
    <t>sides</t>
  </si>
  <si>
    <t xml:space="preserve">subtotal </t>
  </si>
  <si>
    <t>cu yd</t>
  </si>
  <si>
    <t>total length</t>
  </si>
  <si>
    <t>approach slab length</t>
  </si>
  <si>
    <t>number of approach slabs</t>
  </si>
  <si>
    <t>sq ft</t>
  </si>
  <si>
    <t>total volume</t>
  </si>
  <si>
    <t>length of bridge deck</t>
  </si>
  <si>
    <t>sq yd</t>
  </si>
  <si>
    <t>out to out width</t>
  </si>
  <si>
    <t>number of approaches</t>
  </si>
  <si>
    <t>approach slab width</t>
  </si>
  <si>
    <t>degrees</t>
  </si>
  <si>
    <t>skew</t>
  </si>
  <si>
    <t>width along skew</t>
  </si>
  <si>
    <t>volume</t>
  </si>
  <si>
    <t>ESTIMATED QUANTITIES</t>
  </si>
  <si>
    <t>LS</t>
  </si>
  <si>
    <t>20000</t>
  </si>
  <si>
    <t>EPOXY COATED STEEL REINFORCEMENT</t>
  </si>
  <si>
    <t>34446</t>
  </si>
  <si>
    <t>CLASS QC2 CONCRETE WITH QC/QA, BRIDGE DECK</t>
  </si>
  <si>
    <t>INTERMEDIATE DIAPHRAGMS</t>
  </si>
  <si>
    <t>6" PERFORATED CORRUGATED PLASTIC PIPE</t>
  </si>
  <si>
    <t>40000</t>
  </si>
  <si>
    <t>40010</t>
  </si>
  <si>
    <t>6" NON-PERFORATED CORRUGATED PLASTIC PIPE, INCLUDING SPECIALS</t>
  </si>
  <si>
    <t>General Input:</t>
  </si>
  <si>
    <t>road width</t>
  </si>
  <si>
    <t>beam depth</t>
  </si>
  <si>
    <t>haunch depth</t>
  </si>
  <si>
    <t>height, beam seat to top of deck</t>
  </si>
  <si>
    <t>beam spacing</t>
  </si>
  <si>
    <t>wingwall length, 1 side</t>
  </si>
  <si>
    <t>overhang length</t>
  </si>
  <si>
    <t>beams</t>
  </si>
  <si>
    <t>stem height</t>
  </si>
  <si>
    <t>piles</t>
  </si>
  <si>
    <t>abutments</t>
  </si>
  <si>
    <t>total abutment</t>
  </si>
  <si>
    <t>average haunch thickness</t>
  </si>
  <si>
    <t>overhang thickness</t>
  </si>
  <si>
    <t>spans</t>
  </si>
  <si>
    <t>number of diaphragms between beams</t>
  </si>
  <si>
    <t>diaphragms per span</t>
  </si>
  <si>
    <t>deg</t>
  </si>
  <si>
    <t>bearings/beam</t>
  </si>
  <si>
    <t>assumed length to outlet</t>
  </si>
  <si>
    <t>area</t>
  </si>
  <si>
    <t>extra height at crown</t>
  </si>
  <si>
    <t>area per beam</t>
  </si>
  <si>
    <t>length of beam into diaphragm</t>
  </si>
  <si>
    <t>beam volume</t>
  </si>
  <si>
    <t>gross volume</t>
  </si>
  <si>
    <t>footing</t>
  </si>
  <si>
    <t>subtotal</t>
  </si>
  <si>
    <t>abutment total</t>
  </si>
  <si>
    <t>depth</t>
  </si>
  <si>
    <t>max depth</t>
  </si>
  <si>
    <t>min depth</t>
  </si>
  <si>
    <t>wings/abutment</t>
  </si>
  <si>
    <t>wingwalls</t>
  </si>
  <si>
    <t>end area</t>
  </si>
  <si>
    <t>face area</t>
  </si>
  <si>
    <t>top and back area</t>
  </si>
  <si>
    <t>area per wing</t>
  </si>
  <si>
    <t>total area</t>
  </si>
  <si>
    <t>total abutment area</t>
  </si>
  <si>
    <t>wingwall area</t>
  </si>
  <si>
    <t>approach slab depth</t>
  </si>
  <si>
    <t>porous backfill depth</t>
  </si>
  <si>
    <t>porous backfill width</t>
  </si>
  <si>
    <t>total under approach slab area</t>
  </si>
  <si>
    <t>under AS</t>
  </si>
  <si>
    <t>wingwall length</t>
  </si>
  <si>
    <t>volume per wingwall</t>
  </si>
  <si>
    <t>wingwalls/abutment</t>
  </si>
  <si>
    <t>volume behind wings</t>
  </si>
  <si>
    <t>total per abutment</t>
  </si>
  <si>
    <t>CLASS QC1 CONCRETE WITH QC/QA, ABUTMENT INCLUDING FOOTING</t>
  </si>
  <si>
    <t>43512</t>
  </si>
  <si>
    <t>thickness</t>
  </si>
  <si>
    <t>APPROACH SLAB REMOVED</t>
  </si>
  <si>
    <t>EXCAVATION</t>
  </si>
  <si>
    <t>EMBANKMENT, AS PER PLAN</t>
  </si>
  <si>
    <t>INTEGRAL ABUTMENT EXPANSION JOINT SEAL</t>
  </si>
  <si>
    <t>length (rehab plans)</t>
  </si>
  <si>
    <t>width (rehab plans)</t>
  </si>
  <si>
    <t>stem</t>
  </si>
  <si>
    <t>rear</t>
  </si>
  <si>
    <t>width rear</t>
  </si>
  <si>
    <t>fwd</t>
  </si>
  <si>
    <t>width forward</t>
  </si>
  <si>
    <t>area at abutments</t>
  </si>
  <si>
    <t>ROS-772-0764 Estimated Quantities - Concrete I Beam</t>
  </si>
  <si>
    <t>SL</t>
  </si>
  <si>
    <t>15010</t>
  </si>
  <si>
    <t>surface area of deck overhang and beam fascia (per side)</t>
  </si>
  <si>
    <t>REINFORCED CONCRETE APPROACH SLABS WITH QC/QA (T=13")</t>
  </si>
  <si>
    <t>approx. footing length along skew</t>
  </si>
  <si>
    <t>wingwall+stem</t>
  </si>
  <si>
    <t>fascia beam</t>
  </si>
  <si>
    <t>14014</t>
  </si>
  <si>
    <t>20001</t>
  </si>
  <si>
    <t>PES</t>
  </si>
  <si>
    <t>11203</t>
  </si>
  <si>
    <t>PORTIONS OF STRUCTURE REMOVED, OVER 20 FOOT SPAN, AS PER PLAN</t>
  </si>
  <si>
    <t xml:space="preserve">total </t>
  </si>
  <si>
    <t># of abutments</t>
  </si>
  <si>
    <t>sft</t>
  </si>
  <si>
    <t>exist rear abut</t>
  </si>
  <si>
    <t>exist forward abut</t>
  </si>
  <si>
    <t>around prop. rear wing</t>
  </si>
  <si>
    <t>around prop. fwd abut</t>
  </si>
  <si>
    <t>5% assumed around ends</t>
  </si>
  <si>
    <t>cft</t>
  </si>
  <si>
    <t>cyd</t>
  </si>
  <si>
    <t>area behind ex. Abutment</t>
  </si>
  <si>
    <t>area front ex. Abutment</t>
  </si>
  <si>
    <t>length ex. Abutment</t>
  </si>
  <si>
    <t>length wings</t>
  </si>
  <si>
    <t>rear footing</t>
  </si>
  <si>
    <t>rear abutment stem</t>
  </si>
  <si>
    <t>rear wings</t>
  </si>
  <si>
    <t>subtotal rear abutment</t>
  </si>
  <si>
    <t>forward footing</t>
  </si>
  <si>
    <t>forward abutment stem</t>
  </si>
  <si>
    <t>forward wings</t>
  </si>
  <si>
    <t>subtotal forward abutment</t>
  </si>
  <si>
    <t>total stem area</t>
  </si>
  <si>
    <t>length of joint along beam seat</t>
  </si>
  <si>
    <t>height of joint each side of wing</t>
  </si>
  <si>
    <t># of wings each abutment</t>
  </si>
  <si>
    <t>70100</t>
  </si>
  <si>
    <t>RAILING (THREE STEEL TUBE BRIDGE RAILING)</t>
  </si>
  <si>
    <t>bottom footing to top deck</t>
  </si>
  <si>
    <t>full height abutment length</t>
  </si>
  <si>
    <t>rear abutment</t>
  </si>
  <si>
    <t>forward abutment</t>
  </si>
  <si>
    <t>Varies</t>
  </si>
  <si>
    <t>bearing height (approx), including plates and posts</t>
  </si>
  <si>
    <t>beam depth + 14" below</t>
  </si>
  <si>
    <t>total lemgth</t>
  </si>
  <si>
    <t>depth of joint system</t>
  </si>
  <si>
    <t>width of joint system</t>
  </si>
  <si>
    <t>length of joint system (along skew)</t>
  </si>
  <si>
    <t>volume per approach slab</t>
  </si>
  <si>
    <t>ea.</t>
  </si>
  <si>
    <t>Rear</t>
  </si>
  <si>
    <t>no. piles</t>
  </si>
  <si>
    <t>Fwd</t>
  </si>
  <si>
    <t>length into rock</t>
  </si>
  <si>
    <t>31100</t>
  </si>
  <si>
    <t>ROCK EXCAVATION</t>
  </si>
  <si>
    <t>fwd abut</t>
  </si>
  <si>
    <t>length + 2ft</t>
  </si>
  <si>
    <t>92201</t>
  </si>
  <si>
    <t>PREBORED HOLES, AS PER PLAN</t>
  </si>
  <si>
    <t>perimeter of beam and deck LEFT</t>
  </si>
  <si>
    <t>perimeter of beam and deck RIGHT</t>
  </si>
  <si>
    <t>SHEET</t>
  </si>
  <si>
    <t>Wing 1 Max Height</t>
  </si>
  <si>
    <t>Wing 1 Min Height</t>
  </si>
  <si>
    <t>Wing 2 Max Height</t>
  </si>
  <si>
    <t>Wing 2 Min Height</t>
  </si>
  <si>
    <t>top length</t>
  </si>
  <si>
    <t>Wing 1 Volume</t>
  </si>
  <si>
    <t>Wing 2 Volume</t>
  </si>
  <si>
    <t>sloped length wing 1</t>
  </si>
  <si>
    <t>sloped length wing 2</t>
  </si>
  <si>
    <t>avg length</t>
  </si>
  <si>
    <t>avg max depth</t>
  </si>
  <si>
    <t>11101</t>
  </si>
  <si>
    <t>21301</t>
  </si>
  <si>
    <t>COFFERDAMS AND EXCAVATION BRACING, AS PER PLAN</t>
  </si>
  <si>
    <t>UNCLASSIFIED EXCAVATION, AS PER PLAN</t>
  </si>
  <si>
    <t>44001</t>
  </si>
  <si>
    <t>21201</t>
  </si>
  <si>
    <t>POROUS BACKFILL WITH GEOTEXTILE FABRIC, AS PER PLAN</t>
  </si>
  <si>
    <t>32200</t>
  </si>
  <si>
    <t>ROCK CHANNEL PROTECTION, TYPE C WITH FILTER</t>
  </si>
  <si>
    <t>13200</t>
  </si>
  <si>
    <t>13600</t>
  </si>
  <si>
    <t>13900</t>
  </si>
  <si>
    <t>SF</t>
  </si>
  <si>
    <t>1/2" PREFORMED EXPANSION JOINT FILLER</t>
  </si>
  <si>
    <t>1" PREFORMED EXPANSION JOINT FILLER</t>
  </si>
  <si>
    <t>2" PREFORMED EXPANSION JOINT FILLER</t>
  </si>
  <si>
    <t>2/24</t>
  </si>
  <si>
    <t>12/24</t>
  </si>
  <si>
    <t>STEEL PILES HP10X42, FURNISHED, AS PER PLAN</t>
  </si>
  <si>
    <t>1'-4" x 10" x 1 7/8" ELASTOMERIC BEARING WITH INTERNAL LAMINATES AND LOAD PLATE 1'-5" x 11" x 1 1/2" (NEOPRENE), AS PER PLAN</t>
  </si>
  <si>
    <t>order length</t>
  </si>
  <si>
    <t>length joint along beam seat</t>
  </si>
  <si>
    <t>sf</t>
  </si>
  <si>
    <t>height of joint along beam seat</t>
  </si>
  <si>
    <t>depth of wingwall</t>
  </si>
  <si>
    <t>00101</t>
  </si>
  <si>
    <t>DRAPED STRAND PRESTRESSED CONCRETE BRIDGE I-BEAM MEMBERS, LEVEL 3, TYPE 3 (LENGTH = 76'-4")</t>
  </si>
  <si>
    <t>no. sides</t>
  </si>
  <si>
    <t>area behind prop wing</t>
  </si>
  <si>
    <t>area behind prop rear abut.</t>
  </si>
  <si>
    <t>length abutment</t>
  </si>
  <si>
    <t>length prop abutment</t>
  </si>
  <si>
    <t>max elev. Behind wall</t>
  </si>
  <si>
    <t>min elev. Behind wall</t>
  </si>
  <si>
    <t>Volume</t>
  </si>
  <si>
    <t>footing elevation</t>
  </si>
  <si>
    <t>cuft</t>
  </si>
  <si>
    <t>avg area behind</t>
  </si>
  <si>
    <t>max area behind</t>
  </si>
  <si>
    <t>min area behind</t>
  </si>
  <si>
    <t>pile tip elevation</t>
  </si>
  <si>
    <t>top of rock elevation</t>
  </si>
  <si>
    <t>Diaphragms</t>
  </si>
  <si>
    <t>Superstructure</t>
  </si>
  <si>
    <t>rear abut.</t>
  </si>
  <si>
    <t>fwd abut.</t>
  </si>
  <si>
    <t>33000</t>
  </si>
  <si>
    <t>EA</t>
  </si>
  <si>
    <t>STRUCTURE GROUNDING SYSTEM</t>
  </si>
  <si>
    <t>width @ appr. Slab</t>
  </si>
  <si>
    <t>depth @ appr. Slab</t>
  </si>
  <si>
    <t># locations</t>
  </si>
  <si>
    <t>Deck Length</t>
  </si>
  <si>
    <t>first post from end of deck</t>
  </si>
  <si>
    <t>extra length each end</t>
  </si>
  <si>
    <t># sides</t>
  </si>
  <si>
    <t>wingwall 1</t>
  </si>
  <si>
    <t>Length</t>
  </si>
  <si>
    <t>D1</t>
  </si>
  <si>
    <t>D2</t>
  </si>
  <si>
    <t>Avg. D</t>
  </si>
  <si>
    <t>Depth</t>
  </si>
  <si>
    <t>wingwall 2</t>
  </si>
  <si>
    <t>wingwall 3</t>
  </si>
  <si>
    <t>wingwall 4</t>
  </si>
  <si>
    <t>area rear</t>
  </si>
  <si>
    <t>area forward</t>
  </si>
  <si>
    <t>1'-4" x 1'-0" x 1 7/8" ELASTOMERIC BEARING WITH INTERNAL LAMINATES AND LOAD PLATE 1'-5" x 1'-1" x 1 1/2" (NEOPRENE), AS PER PLAN</t>
  </si>
  <si>
    <t>BTR</t>
  </si>
  <si>
    <t>MJZ</t>
  </si>
  <si>
    <t>DATE: 11/26/2024</t>
  </si>
  <si>
    <t>2/24, 5/24</t>
  </si>
  <si>
    <t>21321</t>
  </si>
  <si>
    <t>UNCLASSIFIED EXCAVATION, INCLUDING ROCK, AS PER PLAN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</si>
</sst>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164" formatCode="&quot;$&quot;#,##0.00"/>
    <numFmt numFmtId="165" formatCode="&quot;$&quot;#,##0"/>
    <numFmt numFmtId="166" formatCode="00000"/>
    <numFmt numFmtId="167" formatCode="0.000"/>
  </numFmts>
  <fonts count="28" x14ac:knownFonts="1">
    <font>
      <sz val="11"/>
      <color theme="1"/>
      <name val="돋움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돋움"/>
      <family val="2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i/>
      <sz val="11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5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4" fontId="16" fillId="0" borderId="0" applyFont="0" applyFill="0" applyBorder="0" applyAlignment="0" applyProtection="0"/>
    <xf numFmtId="0" fontId="20" fillId="0" borderId="0"/>
    <xf numFmtId="0" fontId="24" fillId="0" borderId="0"/>
  </cellStyleXfs>
  <cellXfs count="199">
    <xf numFmtId="0" fontId="0" fillId="0" borderId="0" xfId="0"/>
    <xf numFmtId="0" fontId="17" fillId="3" borderId="0" xfId="0" applyFont="1" applyFill="1"/>
    <xf numFmtId="0" fontId="17" fillId="3" borderId="0" xfId="0" applyFont="1" applyFill="1" applyAlignment="1">
      <alignment horizontal="center"/>
    </xf>
    <xf numFmtId="164" fontId="17" fillId="3" borderId="0" xfId="0" applyNumberFormat="1" applyFont="1" applyFill="1"/>
    <xf numFmtId="0" fontId="18" fillId="0" borderId="0" xfId="0" applyFont="1"/>
    <xf numFmtId="165" fontId="21" fillId="0" borderId="0" xfId="0" applyNumberFormat="1" applyFont="1"/>
    <xf numFmtId="0" fontId="21" fillId="4" borderId="0" xfId="0" applyFont="1" applyFill="1" applyAlignment="1">
      <alignment horizontal="center"/>
    </xf>
    <xf numFmtId="49" fontId="21" fillId="4" borderId="0" xfId="0" applyNumberFormat="1" applyFont="1" applyFill="1" applyAlignment="1">
      <alignment horizontal="center"/>
    </xf>
    <xf numFmtId="1" fontId="21" fillId="4" borderId="0" xfId="0" applyNumberFormat="1" applyFont="1" applyFill="1" applyAlignment="1">
      <alignment horizontal="center"/>
    </xf>
    <xf numFmtId="2" fontId="21" fillId="0" borderId="0" xfId="0" applyNumberFormat="1" applyFont="1" applyAlignment="1">
      <alignment horizontal="center"/>
    </xf>
    <xf numFmtId="0" fontId="21" fillId="0" borderId="0" xfId="0" applyFont="1"/>
    <xf numFmtId="2" fontId="21" fillId="4" borderId="0" xfId="0" applyNumberFormat="1" applyFont="1" applyFill="1" applyAlignment="1">
      <alignment horizontal="center"/>
    </xf>
    <xf numFmtId="166" fontId="21" fillId="4" borderId="0" xfId="0" applyNumberFormat="1" applyFont="1" applyFill="1" applyAlignment="1">
      <alignment horizontal="center"/>
    </xf>
    <xf numFmtId="0" fontId="22" fillId="0" borderId="0" xfId="0" applyFont="1"/>
    <xf numFmtId="0" fontId="22" fillId="0" borderId="0" xfId="0" applyFont="1" applyAlignment="1">
      <alignment horizontal="center"/>
    </xf>
    <xf numFmtId="0" fontId="22" fillId="0" borderId="0" xfId="0" applyFont="1" applyAlignment="1">
      <alignment horizontal="right"/>
    </xf>
    <xf numFmtId="0" fontId="23" fillId="0" borderId="0" xfId="0" applyFont="1" applyAlignment="1">
      <alignment horizontal="left"/>
    </xf>
    <xf numFmtId="49" fontId="21" fillId="4" borderId="0" xfId="0" applyNumberFormat="1" applyFont="1" applyFill="1" applyAlignment="1">
      <alignment horizontal="left"/>
    </xf>
    <xf numFmtId="165" fontId="21" fillId="0" borderId="27" xfId="0" applyNumberFormat="1" applyFont="1" applyBorder="1" applyAlignment="1">
      <alignment horizontal="center"/>
    </xf>
    <xf numFmtId="0" fontId="21" fillId="0" borderId="25" xfId="0" applyFont="1" applyBorder="1" applyAlignment="1">
      <alignment horizontal="right"/>
    </xf>
    <xf numFmtId="0" fontId="17" fillId="0" borderId="0" xfId="0" applyFont="1"/>
    <xf numFmtId="0" fontId="21" fillId="0" borderId="0" xfId="0" applyFont="1" applyAlignment="1">
      <alignment horizontal="center"/>
    </xf>
    <xf numFmtId="0" fontId="21" fillId="4" borderId="0" xfId="0" applyFont="1" applyFill="1" applyAlignment="1">
      <alignment horizontal="left"/>
    </xf>
    <xf numFmtId="0" fontId="15" fillId="0" borderId="16" xfId="0" applyFont="1" applyBorder="1" applyAlignment="1">
      <alignment horizontal="left"/>
    </xf>
    <xf numFmtId="49" fontId="15" fillId="0" borderId="15" xfId="0" applyNumberFormat="1" applyFont="1" applyBorder="1" applyAlignment="1">
      <alignment horizontal="center"/>
    </xf>
    <xf numFmtId="49" fontId="15" fillId="0" borderId="29" xfId="0" applyNumberFormat="1" applyFont="1" applyBorder="1" applyAlignment="1">
      <alignment horizontal="center"/>
    </xf>
    <xf numFmtId="0" fontId="15" fillId="0" borderId="29" xfId="0" applyFont="1" applyBorder="1" applyAlignment="1">
      <alignment horizontal="center"/>
    </xf>
    <xf numFmtId="0" fontId="15" fillId="0" borderId="30" xfId="0" applyFont="1" applyBorder="1" applyAlignment="1">
      <alignment horizontal="left"/>
    </xf>
    <xf numFmtId="0" fontId="15" fillId="0" borderId="0" xfId="0" applyFont="1"/>
    <xf numFmtId="164" fontId="15" fillId="0" borderId="0" xfId="0" applyNumberFormat="1" applyFont="1"/>
    <xf numFmtId="0" fontId="15" fillId="2" borderId="0" xfId="0" applyFont="1" applyFill="1"/>
    <xf numFmtId="0" fontId="15" fillId="2" borderId="0" xfId="0" applyFont="1" applyFill="1" applyAlignment="1">
      <alignment horizontal="center"/>
    </xf>
    <xf numFmtId="164" fontId="15" fillId="2" borderId="0" xfId="0" applyNumberFormat="1" applyFont="1" applyFill="1"/>
    <xf numFmtId="0" fontId="15" fillId="0" borderId="0" xfId="0" applyFont="1" applyAlignment="1">
      <alignment horizontal="center"/>
    </xf>
    <xf numFmtId="0" fontId="15" fillId="0" borderId="1" xfId="0" applyFont="1" applyBorder="1"/>
    <xf numFmtId="0" fontId="15" fillId="0" borderId="1" xfId="0" applyFont="1" applyBorder="1" applyAlignment="1">
      <alignment horizontal="left"/>
    </xf>
    <xf numFmtId="14" fontId="15" fillId="0" borderId="1" xfId="0" applyNumberFormat="1" applyFont="1" applyBorder="1" applyAlignment="1">
      <alignment horizontal="left"/>
    </xf>
    <xf numFmtId="0" fontId="15" fillId="0" borderId="1" xfId="0" applyFont="1" applyBorder="1" applyAlignment="1">
      <alignment horizontal="center"/>
    </xf>
    <xf numFmtId="164" fontId="15" fillId="0" borderId="1" xfId="0" applyNumberFormat="1" applyFont="1" applyBorder="1" applyAlignment="1">
      <alignment horizontal="center"/>
    </xf>
    <xf numFmtId="0" fontId="15" fillId="0" borderId="2" xfId="0" applyFont="1" applyBorder="1"/>
    <xf numFmtId="0" fontId="15" fillId="0" borderId="2" xfId="0" applyFont="1" applyBorder="1" applyAlignment="1">
      <alignment horizontal="left"/>
    </xf>
    <xf numFmtId="14" fontId="15" fillId="0" borderId="2" xfId="0" applyNumberFormat="1" applyFont="1" applyBorder="1" applyAlignment="1">
      <alignment horizontal="left"/>
    </xf>
    <xf numFmtId="0" fontId="15" fillId="0" borderId="2" xfId="0" applyFont="1" applyBorder="1" applyAlignment="1">
      <alignment horizontal="center"/>
    </xf>
    <xf numFmtId="164" fontId="15" fillId="0" borderId="2" xfId="0" applyNumberFormat="1" applyFont="1" applyBorder="1" applyAlignment="1">
      <alignment horizontal="center"/>
    </xf>
    <xf numFmtId="0" fontId="15" fillId="0" borderId="4" xfId="0" applyFont="1" applyBorder="1" applyAlignment="1">
      <alignment horizontal="right"/>
    </xf>
    <xf numFmtId="0" fontId="15" fillId="0" borderId="4" xfId="0" applyFont="1" applyBorder="1" applyAlignment="1">
      <alignment horizontal="left"/>
    </xf>
    <xf numFmtId="14" fontId="15" fillId="0" borderId="4" xfId="0" applyNumberFormat="1" applyFont="1" applyBorder="1" applyAlignment="1">
      <alignment horizontal="right"/>
    </xf>
    <xf numFmtId="14" fontId="15" fillId="0" borderId="5" xfId="0" applyNumberFormat="1" applyFont="1" applyBorder="1" applyAlignment="1">
      <alignment horizontal="left"/>
    </xf>
    <xf numFmtId="0" fontId="15" fillId="0" borderId="7" xfId="0" applyFont="1" applyBorder="1" applyAlignment="1">
      <alignment horizontal="right"/>
    </xf>
    <xf numFmtId="0" fontId="15" fillId="0" borderId="7" xfId="0" applyFont="1" applyBorder="1" applyAlignment="1">
      <alignment horizontal="left"/>
    </xf>
    <xf numFmtId="14" fontId="15" fillId="0" borderId="7" xfId="0" applyNumberFormat="1" applyFont="1" applyBorder="1" applyAlignment="1">
      <alignment horizontal="right"/>
    </xf>
    <xf numFmtId="14" fontId="15" fillId="0" borderId="8" xfId="0" applyNumberFormat="1" applyFont="1" applyBorder="1" applyAlignment="1">
      <alignment horizontal="left"/>
    </xf>
    <xf numFmtId="0" fontId="15" fillId="0" borderId="9" xfId="0" applyFont="1" applyBorder="1" applyAlignment="1">
      <alignment horizontal="center"/>
    </xf>
    <xf numFmtId="0" fontId="15" fillId="0" borderId="10" xfId="0" applyFont="1" applyBorder="1" applyAlignment="1">
      <alignment horizontal="center"/>
    </xf>
    <xf numFmtId="3" fontId="15" fillId="0" borderId="10" xfId="0" applyNumberFormat="1" applyFont="1" applyBorder="1" applyAlignment="1">
      <alignment horizontal="center"/>
    </xf>
    <xf numFmtId="0" fontId="15" fillId="0" borderId="11" xfId="0" applyFont="1" applyBorder="1" applyAlignment="1">
      <alignment horizontal="left"/>
    </xf>
    <xf numFmtId="0" fontId="15" fillId="0" borderId="12" xfId="0" applyFont="1" applyBorder="1" applyAlignment="1">
      <alignment horizontal="left"/>
    </xf>
    <xf numFmtId="0" fontId="15" fillId="0" borderId="13" xfId="0" applyFont="1" applyBorder="1" applyAlignment="1">
      <alignment horizontal="center"/>
    </xf>
    <xf numFmtId="0" fontId="15" fillId="0" borderId="14" xfId="0" applyFont="1" applyBorder="1" applyAlignment="1">
      <alignment horizontal="center"/>
    </xf>
    <xf numFmtId="3" fontId="15" fillId="0" borderId="15" xfId="0" applyNumberFormat="1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165" fontId="15" fillId="0" borderId="17" xfId="0" applyNumberFormat="1" applyFont="1" applyBorder="1" applyAlignment="1">
      <alignment horizontal="right"/>
    </xf>
    <xf numFmtId="0" fontId="15" fillId="0" borderId="28" xfId="0" applyFont="1" applyBorder="1" applyAlignment="1">
      <alignment horizontal="center"/>
    </xf>
    <xf numFmtId="3" fontId="15" fillId="0" borderId="29" xfId="0" applyNumberFormat="1" applyFont="1" applyBorder="1" applyAlignment="1">
      <alignment horizontal="center"/>
    </xf>
    <xf numFmtId="3" fontId="15" fillId="0" borderId="19" xfId="0" applyNumberFormat="1" applyFont="1" applyBorder="1" applyAlignment="1">
      <alignment horizontal="center"/>
    </xf>
    <xf numFmtId="0" fontId="15" fillId="0" borderId="18" xfId="0" applyFont="1" applyBorder="1" applyAlignment="1">
      <alignment horizontal="center"/>
    </xf>
    <xf numFmtId="49" fontId="15" fillId="0" borderId="19" xfId="0" applyNumberFormat="1" applyFont="1" applyBorder="1" applyAlignment="1">
      <alignment horizontal="center"/>
    </xf>
    <xf numFmtId="0" fontId="15" fillId="0" borderId="19" xfId="0" applyFont="1" applyBorder="1" applyAlignment="1">
      <alignment horizontal="center"/>
    </xf>
    <xf numFmtId="0" fontId="15" fillId="0" borderId="36" xfId="0" applyFont="1" applyBorder="1" applyAlignment="1">
      <alignment horizontal="left"/>
    </xf>
    <xf numFmtId="0" fontId="15" fillId="0" borderId="20" xfId="0" applyFont="1" applyBorder="1" applyAlignment="1">
      <alignment horizontal="center"/>
    </xf>
    <xf numFmtId="49" fontId="15" fillId="0" borderId="21" xfId="0" applyNumberFormat="1" applyFont="1" applyBorder="1" applyAlignment="1">
      <alignment horizontal="center"/>
    </xf>
    <xf numFmtId="3" fontId="15" fillId="0" borderId="21" xfId="0" applyNumberFormat="1" applyFont="1" applyBorder="1" applyAlignment="1">
      <alignment horizontal="center"/>
    </xf>
    <xf numFmtId="0" fontId="15" fillId="0" borderId="21" xfId="0" applyFont="1" applyBorder="1" applyAlignment="1">
      <alignment horizontal="center"/>
    </xf>
    <xf numFmtId="0" fontId="15" fillId="0" borderId="22" xfId="0" applyFont="1" applyBorder="1" applyAlignment="1">
      <alignment horizontal="left"/>
    </xf>
    <xf numFmtId="0" fontId="15" fillId="0" borderId="23" xfId="0" applyFont="1" applyBorder="1" applyAlignment="1">
      <alignment horizontal="left"/>
    </xf>
    <xf numFmtId="164" fontId="15" fillId="0" borderId="24" xfId="0" applyNumberFormat="1" applyFont="1" applyBorder="1" applyAlignment="1">
      <alignment horizontal="center"/>
    </xf>
    <xf numFmtId="0" fontId="15" fillId="0" borderId="26" xfId="0" applyFont="1" applyBorder="1" applyAlignment="1">
      <alignment horizontal="right"/>
    </xf>
    <xf numFmtId="0" fontId="15" fillId="0" borderId="26" xfId="0" applyFont="1" applyBorder="1" applyAlignment="1">
      <alignment horizontal="center"/>
    </xf>
    <xf numFmtId="0" fontId="15" fillId="0" borderId="0" xfId="0" applyFont="1" applyAlignment="1">
      <alignment horizontal="right"/>
    </xf>
    <xf numFmtId="164" fontId="15" fillId="0" borderId="0" xfId="0" applyNumberFormat="1" applyFont="1" applyAlignment="1">
      <alignment horizontal="right"/>
    </xf>
    <xf numFmtId="2" fontId="15" fillId="5" borderId="0" xfId="0" applyNumberFormat="1" applyFont="1" applyFill="1" applyAlignment="1">
      <alignment horizontal="center"/>
    </xf>
    <xf numFmtId="167" fontId="15" fillId="0" borderId="0" xfId="0" applyNumberFormat="1" applyFont="1"/>
    <xf numFmtId="2" fontId="15" fillId="0" borderId="0" xfId="0" applyNumberFormat="1" applyFont="1" applyAlignment="1">
      <alignment horizontal="center"/>
    </xf>
    <xf numFmtId="2" fontId="15" fillId="0" borderId="0" xfId="0" applyNumberFormat="1" applyFont="1" applyAlignment="1">
      <alignment horizontal="right"/>
    </xf>
    <xf numFmtId="0" fontId="15" fillId="4" borderId="0" xfId="0" applyFont="1" applyFill="1"/>
    <xf numFmtId="164" fontId="15" fillId="4" borderId="0" xfId="0" applyNumberFormat="1" applyFont="1" applyFill="1"/>
    <xf numFmtId="0" fontId="15" fillId="0" borderId="0" xfId="0" applyFont="1" applyAlignment="1">
      <alignment horizontal="left"/>
    </xf>
    <xf numFmtId="164" fontId="15" fillId="0" borderId="0" xfId="0" applyNumberFormat="1" applyFont="1" applyAlignment="1">
      <alignment horizontal="left"/>
    </xf>
    <xf numFmtId="0" fontId="15" fillId="4" borderId="0" xfId="0" applyFont="1" applyFill="1" applyAlignment="1">
      <alignment horizontal="left"/>
    </xf>
    <xf numFmtId="164" fontId="15" fillId="4" borderId="0" xfId="0" applyNumberFormat="1" applyFont="1" applyFill="1" applyAlignment="1">
      <alignment horizontal="left"/>
    </xf>
    <xf numFmtId="165" fontId="15" fillId="0" borderId="31" xfId="0" applyNumberFormat="1" applyFont="1" applyBorder="1" applyAlignment="1">
      <alignment horizontal="right"/>
    </xf>
    <xf numFmtId="49" fontId="14" fillId="0" borderId="15" xfId="0" applyNumberFormat="1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16" xfId="0" applyFont="1" applyBorder="1" applyAlignment="1">
      <alignment horizontal="left"/>
    </xf>
    <xf numFmtId="0" fontId="14" fillId="0" borderId="0" xfId="0" applyFont="1" applyAlignment="1">
      <alignment horizontal="right"/>
    </xf>
    <xf numFmtId="0" fontId="14" fillId="0" borderId="0" xfId="0" applyFont="1"/>
    <xf numFmtId="49" fontId="13" fillId="0" borderId="29" xfId="0" applyNumberFormat="1" applyFont="1" applyBorder="1" applyAlignment="1">
      <alignment horizontal="center"/>
    </xf>
    <xf numFmtId="0" fontId="13" fillId="0" borderId="30" xfId="0" applyFont="1" applyBorder="1" applyAlignment="1">
      <alignment horizontal="left"/>
    </xf>
    <xf numFmtId="0" fontId="13" fillId="0" borderId="0" xfId="0" applyFont="1" applyAlignment="1">
      <alignment horizontal="left"/>
    </xf>
    <xf numFmtId="0" fontId="12" fillId="0" borderId="0" xfId="0" applyFont="1"/>
    <xf numFmtId="167" fontId="15" fillId="5" borderId="0" xfId="0" applyNumberFormat="1" applyFont="1" applyFill="1" applyAlignment="1">
      <alignment horizontal="center"/>
    </xf>
    <xf numFmtId="167" fontId="15" fillId="0" borderId="0" xfId="0" applyNumberFormat="1" applyFont="1" applyAlignment="1">
      <alignment horizontal="center"/>
    </xf>
    <xf numFmtId="0" fontId="15" fillId="0" borderId="35" xfId="0" applyFont="1" applyBorder="1" applyAlignment="1">
      <alignment horizontal="center"/>
    </xf>
    <xf numFmtId="164" fontId="15" fillId="0" borderId="2" xfId="1" applyNumberFormat="1" applyFont="1" applyFill="1" applyBorder="1" applyAlignment="1">
      <alignment horizontal="right"/>
    </xf>
    <xf numFmtId="164" fontId="15" fillId="0" borderId="1" xfId="1" applyNumberFormat="1" applyFont="1" applyFill="1" applyBorder="1" applyAlignment="1">
      <alignment horizontal="right"/>
    </xf>
    <xf numFmtId="0" fontId="15" fillId="0" borderId="1" xfId="0" applyFont="1" applyBorder="1" applyAlignment="1">
      <alignment horizontal="right"/>
    </xf>
    <xf numFmtId="164" fontId="15" fillId="0" borderId="37" xfId="1" applyNumberFormat="1" applyFont="1" applyFill="1" applyBorder="1" applyAlignment="1">
      <alignment horizontal="right"/>
    </xf>
    <xf numFmtId="164" fontId="15" fillId="0" borderId="38" xfId="1" applyNumberFormat="1" applyFont="1" applyFill="1" applyBorder="1" applyAlignment="1">
      <alignment horizontal="center"/>
    </xf>
    <xf numFmtId="0" fontId="15" fillId="0" borderId="5" xfId="0" applyFont="1" applyBorder="1" applyAlignment="1">
      <alignment horizontal="left"/>
    </xf>
    <xf numFmtId="0" fontId="15" fillId="0" borderId="8" xfId="0" applyFont="1" applyBorder="1" applyAlignment="1">
      <alignment horizontal="left"/>
    </xf>
    <xf numFmtId="0" fontId="15" fillId="0" borderId="32" xfId="0" applyFont="1" applyBorder="1" applyAlignment="1">
      <alignment horizontal="left"/>
    </xf>
    <xf numFmtId="0" fontId="15" fillId="0" borderId="39" xfId="0" applyFont="1" applyBorder="1" applyAlignment="1">
      <alignment horizontal="left"/>
    </xf>
    <xf numFmtId="0" fontId="15" fillId="0" borderId="40" xfId="0" applyFont="1" applyBorder="1" applyAlignment="1">
      <alignment horizontal="left"/>
    </xf>
    <xf numFmtId="0" fontId="15" fillId="0" borderId="41" xfId="0" applyFont="1" applyBorder="1" applyAlignment="1">
      <alignment horizontal="left"/>
    </xf>
    <xf numFmtId="0" fontId="15" fillId="0" borderId="42" xfId="0" applyFont="1" applyBorder="1" applyAlignment="1">
      <alignment horizontal="left"/>
    </xf>
    <xf numFmtId="0" fontId="15" fillId="0" borderId="27" xfId="0" applyFont="1" applyBorder="1" applyAlignment="1">
      <alignment horizontal="right"/>
    </xf>
    <xf numFmtId="0" fontId="27" fillId="0" borderId="1" xfId="0" applyFont="1" applyBorder="1"/>
    <xf numFmtId="0" fontId="27" fillId="0" borderId="29" xfId="0" applyFont="1" applyBorder="1" applyAlignment="1">
      <alignment horizontal="center"/>
    </xf>
    <xf numFmtId="3" fontId="27" fillId="0" borderId="29" xfId="0" applyNumberFormat="1" applyFont="1" applyBorder="1" applyAlignment="1">
      <alignment horizontal="center"/>
    </xf>
    <xf numFmtId="49" fontId="27" fillId="0" borderId="15" xfId="0" applyNumberFormat="1" applyFont="1" applyBorder="1" applyAlignment="1">
      <alignment horizontal="center"/>
    </xf>
    <xf numFmtId="0" fontId="11" fillId="0" borderId="0" xfId="0" applyFont="1"/>
    <xf numFmtId="2" fontId="11" fillId="5" borderId="0" xfId="0" applyNumberFormat="1" applyFont="1" applyFill="1" applyAlignment="1">
      <alignment horizontal="center"/>
    </xf>
    <xf numFmtId="49" fontId="10" fillId="0" borderId="29" xfId="0" applyNumberFormat="1" applyFont="1" applyBorder="1" applyAlignment="1">
      <alignment horizontal="center"/>
    </xf>
    <xf numFmtId="49" fontId="10" fillId="0" borderId="15" xfId="0" applyNumberFormat="1" applyFont="1" applyBorder="1" applyAlignment="1">
      <alignment horizontal="center"/>
    </xf>
    <xf numFmtId="0" fontId="10" fillId="0" borderId="16" xfId="0" applyFont="1" applyBorder="1" applyAlignment="1">
      <alignment horizontal="left"/>
    </xf>
    <xf numFmtId="49" fontId="10" fillId="0" borderId="19" xfId="0" applyNumberFormat="1" applyFont="1" applyBorder="1" applyAlignment="1">
      <alignment horizontal="center"/>
    </xf>
    <xf numFmtId="0" fontId="10" fillId="0" borderId="19" xfId="0" applyFont="1" applyBorder="1" applyAlignment="1">
      <alignment horizontal="center"/>
    </xf>
    <xf numFmtId="0" fontId="9" fillId="0" borderId="16" xfId="0" applyFont="1" applyBorder="1" applyAlignment="1">
      <alignment horizontal="left"/>
    </xf>
    <xf numFmtId="0" fontId="9" fillId="0" borderId="0" xfId="0" applyFont="1"/>
    <xf numFmtId="49" fontId="9" fillId="0" borderId="15" xfId="0" applyNumberFormat="1" applyFont="1" applyBorder="1" applyAlignment="1">
      <alignment horizontal="center"/>
    </xf>
    <xf numFmtId="0" fontId="8" fillId="0" borderId="0" xfId="0" applyFont="1"/>
    <xf numFmtId="0" fontId="7" fillId="0" borderId="0" xfId="0" applyFont="1"/>
    <xf numFmtId="0" fontId="6" fillId="0" borderId="0" xfId="0" applyFont="1"/>
    <xf numFmtId="0" fontId="5" fillId="0" borderId="0" xfId="0" applyFont="1"/>
    <xf numFmtId="49" fontId="4" fillId="0" borderId="19" xfId="0" applyNumberFormat="1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16" xfId="0" applyFont="1" applyBorder="1" applyAlignment="1">
      <alignment horizontal="left"/>
    </xf>
    <xf numFmtId="0" fontId="4" fillId="0" borderId="0" xfId="0" applyFont="1"/>
    <xf numFmtId="0" fontId="15" fillId="5" borderId="0" xfId="0" applyFont="1" applyFill="1" applyAlignment="1">
      <alignment horizontal="center"/>
    </xf>
    <xf numFmtId="2" fontId="4" fillId="5" borderId="0" xfId="0" applyNumberFormat="1" applyFont="1" applyFill="1" applyAlignment="1">
      <alignment horizontal="center"/>
    </xf>
    <xf numFmtId="0" fontId="21" fillId="0" borderId="6" xfId="0" applyFont="1" applyBorder="1" applyAlignment="1">
      <alignment horizontal="right"/>
    </xf>
    <xf numFmtId="0" fontId="15" fillId="0" borderId="7" xfId="0" applyFont="1" applyBorder="1" applyAlignment="1">
      <alignment horizontal="center"/>
    </xf>
    <xf numFmtId="0" fontId="15" fillId="0" borderId="8" xfId="0" applyFont="1" applyBorder="1" applyAlignment="1">
      <alignment horizontal="right"/>
    </xf>
    <xf numFmtId="165" fontId="21" fillId="0" borderId="8" xfId="0" applyNumberFormat="1" applyFont="1" applyBorder="1" applyAlignment="1">
      <alignment horizontal="center"/>
    </xf>
    <xf numFmtId="0" fontId="3" fillId="0" borderId="16" xfId="0" applyFont="1" applyBorder="1" applyAlignment="1">
      <alignment horizontal="left"/>
    </xf>
    <xf numFmtId="0" fontId="27" fillId="0" borderId="14" xfId="0" applyFont="1" applyBorder="1" applyAlignment="1">
      <alignment horizontal="center"/>
    </xf>
    <xf numFmtId="3" fontId="27" fillId="0" borderId="15" xfId="0" applyNumberFormat="1" applyFont="1" applyBorder="1" applyAlignment="1">
      <alignment horizontal="center"/>
    </xf>
    <xf numFmtId="0" fontId="27" fillId="0" borderId="15" xfId="0" applyFont="1" applyBorder="1" applyAlignment="1">
      <alignment horizontal="center"/>
    </xf>
    <xf numFmtId="0" fontId="27" fillId="0" borderId="28" xfId="0" applyFont="1" applyBorder="1" applyAlignment="1">
      <alignment horizontal="center"/>
    </xf>
    <xf numFmtId="49" fontId="27" fillId="0" borderId="29" xfId="0" applyNumberFormat="1" applyFont="1" applyBorder="1" applyAlignment="1">
      <alignment horizontal="center"/>
    </xf>
    <xf numFmtId="3" fontId="27" fillId="0" borderId="19" xfId="0" applyNumberFormat="1" applyFont="1" applyBorder="1" applyAlignment="1">
      <alignment horizontal="center"/>
    </xf>
    <xf numFmtId="0" fontId="27" fillId="0" borderId="18" xfId="0" applyFont="1" applyBorder="1" applyAlignment="1">
      <alignment horizontal="center"/>
    </xf>
    <xf numFmtId="49" fontId="27" fillId="0" borderId="19" xfId="0" applyNumberFormat="1" applyFont="1" applyBorder="1" applyAlignment="1">
      <alignment horizontal="center"/>
    </xf>
    <xf numFmtId="0" fontId="27" fillId="0" borderId="19" xfId="0" applyFont="1" applyBorder="1" applyAlignment="1">
      <alignment horizontal="center"/>
    </xf>
    <xf numFmtId="0" fontId="2" fillId="0" borderId="0" xfId="0" applyFont="1"/>
    <xf numFmtId="0" fontId="27" fillId="0" borderId="4" xfId="0" applyFont="1" applyBorder="1"/>
    <xf numFmtId="14" fontId="25" fillId="0" borderId="5" xfId="0" applyNumberFormat="1" applyFont="1" applyBorder="1"/>
    <xf numFmtId="14" fontId="25" fillId="0" borderId="40" xfId="0" applyNumberFormat="1" applyFont="1" applyBorder="1"/>
    <xf numFmtId="0" fontId="27" fillId="0" borderId="44" xfId="0" applyFont="1" applyBorder="1" applyAlignment="1">
      <alignment horizontal="center"/>
    </xf>
    <xf numFmtId="0" fontId="27" fillId="0" borderId="45" xfId="0" applyFont="1" applyBorder="1" applyAlignment="1">
      <alignment horizontal="center"/>
    </xf>
    <xf numFmtId="3" fontId="27" fillId="0" borderId="45" xfId="0" applyNumberFormat="1" applyFont="1" applyBorder="1" applyAlignment="1">
      <alignment horizontal="center"/>
    </xf>
    <xf numFmtId="0" fontId="27" fillId="0" borderId="48" xfId="0" applyFont="1" applyBorder="1" applyAlignment="1">
      <alignment horizontal="center"/>
    </xf>
    <xf numFmtId="49" fontId="27" fillId="0" borderId="49" xfId="0" applyNumberFormat="1" applyFont="1" applyBorder="1" applyAlignment="1">
      <alignment horizontal="center"/>
    </xf>
    <xf numFmtId="49" fontId="27" fillId="0" borderId="17" xfId="0" applyNumberFormat="1" applyFont="1" applyBorder="1" applyAlignment="1">
      <alignment horizontal="center"/>
    </xf>
    <xf numFmtId="49" fontId="0" fillId="0" borderId="17" xfId="0" applyNumberFormat="1" applyBorder="1"/>
    <xf numFmtId="49" fontId="25" fillId="0" borderId="17" xfId="0" applyNumberFormat="1" applyFont="1" applyBorder="1" applyAlignment="1">
      <alignment horizontal="center"/>
    </xf>
    <xf numFmtId="49" fontId="10" fillId="0" borderId="17" xfId="0" applyNumberFormat="1" applyFont="1" applyBorder="1" applyAlignment="1">
      <alignment horizontal="center"/>
    </xf>
    <xf numFmtId="0" fontId="27" fillId="0" borderId="20" xfId="0" applyFont="1" applyBorder="1" applyAlignment="1">
      <alignment horizontal="center"/>
    </xf>
    <xf numFmtId="49" fontId="27" fillId="0" borderId="21" xfId="0" applyNumberFormat="1" applyFont="1" applyBorder="1" applyAlignment="1">
      <alignment horizontal="center"/>
    </xf>
    <xf numFmtId="3" fontId="27" fillId="0" borderId="21" xfId="0" applyNumberFormat="1" applyFont="1" applyBorder="1" applyAlignment="1">
      <alignment horizontal="center"/>
    </xf>
    <xf numFmtId="0" fontId="27" fillId="0" borderId="21" xfId="0" applyFont="1" applyBorder="1" applyAlignment="1">
      <alignment horizontal="center"/>
    </xf>
    <xf numFmtId="49" fontId="0" fillId="0" borderId="24" xfId="0" applyNumberFormat="1" applyBorder="1"/>
    <xf numFmtId="0" fontId="18" fillId="0" borderId="0" xfId="0" applyFont="1" applyAlignment="1">
      <alignment horizontal="center"/>
    </xf>
    <xf numFmtId="0" fontId="19" fillId="0" borderId="3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21" fillId="4" borderId="0" xfId="0" applyFont="1" applyFill="1" applyAlignment="1">
      <alignment horizontal="left"/>
    </xf>
    <xf numFmtId="0" fontId="27" fillId="0" borderId="16" xfId="0" applyFont="1" applyBorder="1" applyAlignment="1">
      <alignment horizontal="left"/>
    </xf>
    <xf numFmtId="0" fontId="27" fillId="0" borderId="2" xfId="0" applyFont="1" applyBorder="1" applyAlignment="1">
      <alignment horizontal="left"/>
    </xf>
    <xf numFmtId="0" fontId="27" fillId="0" borderId="33" xfId="0" applyFont="1" applyBorder="1" applyAlignment="1">
      <alignment horizontal="left"/>
    </xf>
    <xf numFmtId="0" fontId="26" fillId="0" borderId="3" xfId="0" applyFont="1" applyBorder="1" applyAlignment="1">
      <alignment horizontal="center" vertical="center"/>
    </xf>
    <xf numFmtId="0" fontId="26" fillId="0" borderId="4" xfId="0" applyFont="1" applyBorder="1" applyAlignment="1">
      <alignment horizontal="center" vertical="center"/>
    </xf>
    <xf numFmtId="0" fontId="26" fillId="0" borderId="43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27" fillId="0" borderId="46" xfId="0" applyFont="1" applyBorder="1" applyAlignment="1">
      <alignment horizontal="center"/>
    </xf>
    <xf numFmtId="0" fontId="27" fillId="0" borderId="7" xfId="0" applyFont="1" applyBorder="1" applyAlignment="1">
      <alignment horizontal="center"/>
    </xf>
    <xf numFmtId="0" fontId="27" fillId="0" borderId="47" xfId="0" applyFont="1" applyBorder="1" applyAlignment="1">
      <alignment horizontal="center"/>
    </xf>
    <xf numFmtId="0" fontId="27" fillId="0" borderId="30" xfId="0" applyFont="1" applyBorder="1" applyAlignment="1">
      <alignment horizontal="left"/>
    </xf>
    <xf numFmtId="0" fontId="27" fillId="0" borderId="1" xfId="0" applyFont="1" applyBorder="1" applyAlignment="1">
      <alignment horizontal="left"/>
    </xf>
    <xf numFmtId="0" fontId="27" fillId="0" borderId="34" xfId="0" applyFont="1" applyBorder="1" applyAlignment="1">
      <alignment horizontal="left"/>
    </xf>
    <xf numFmtId="0" fontId="27" fillId="0" borderId="16" xfId="0" applyFont="1" applyBorder="1" applyAlignment="1">
      <alignment horizontal="center"/>
    </xf>
    <xf numFmtId="0" fontId="27" fillId="0" borderId="2" xfId="0" applyFont="1" applyBorder="1" applyAlignment="1">
      <alignment horizontal="center"/>
    </xf>
    <xf numFmtId="0" fontId="27" fillId="0" borderId="33" xfId="0" applyFont="1" applyBorder="1" applyAlignment="1">
      <alignment horizontal="center"/>
    </xf>
    <xf numFmtId="0" fontId="27" fillId="0" borderId="22" xfId="0" applyFont="1" applyBorder="1" applyAlignment="1">
      <alignment horizontal="left"/>
    </xf>
    <xf numFmtId="0" fontId="27" fillId="0" borderId="23" xfId="0" applyFont="1" applyBorder="1" applyAlignment="1">
      <alignment horizontal="left"/>
    </xf>
    <xf numFmtId="0" fontId="27" fillId="0" borderId="38" xfId="0" applyFont="1" applyBorder="1" applyAlignment="1">
      <alignment horizontal="left"/>
    </xf>
    <xf numFmtId="49" fontId="1" fillId="0" borderId="15" xfId="0" applyNumberFormat="1" applyFont="1" applyBorder="1" applyAlignment="1">
      <alignment horizontal="center"/>
    </xf>
    <xf numFmtId="0" fontId="1" fillId="0" borderId="16" xfId="0" applyFont="1" applyBorder="1" applyAlignment="1">
      <alignment horizontal="left"/>
    </xf>
  </cellXfs>
  <cellStyles count="4">
    <cellStyle name="Currency" xfId="1" builtinId="4"/>
    <cellStyle name="Normal" xfId="0" builtinId="0"/>
    <cellStyle name="Normal 2" xfId="2" xr:uid="{C62A96F6-7A75-4191-B498-5B73BE7F910E}"/>
    <cellStyle name="Normal 3" xfId="3" xr:uid="{70B364C0-469A-4E04-9676-42D2164AE8F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129540</xdr:colOff>
      <xdr:row>0</xdr:row>
      <xdr:rowOff>1</xdr:rowOff>
    </xdr:from>
    <xdr:to>
      <xdr:col>3</xdr:col>
      <xdr:colOff>397472</xdr:colOff>
      <xdr:row>3</xdr:row>
      <xdr:rowOff>169371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CEB101E-DCB6-495E-9D93-E10CEC16AA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2015" y="1"/>
          <a:ext cx="2163407" cy="798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129540</xdr:colOff>
      <xdr:row>0</xdr:row>
      <xdr:rowOff>1</xdr:rowOff>
    </xdr:from>
    <xdr:to>
      <xdr:col>3</xdr:col>
      <xdr:colOff>397472</xdr:colOff>
      <xdr:row>3</xdr:row>
      <xdr:rowOff>169371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92C16BB-362F-41E3-AD04-D9661991AD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" y="1"/>
          <a:ext cx="1953857" cy="8018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964289-58AC-4478-8F8C-40069902BD05}">
  <sheetPr>
    <tabColor theme="9" tint="0.79998168889431442"/>
    <pageSetUpPr fitToPage="1"/>
  </sheetPr>
  <dimension ref="A1:S413"/>
  <sheetViews>
    <sheetView topLeftCell="A337" zoomScale="85" zoomScaleNormal="85" workbookViewId="0">
      <selection activeCell="D191" sqref="D190:D191"/>
    </sheetView>
  </sheetViews>
  <sheetFormatPr defaultColWidth="8.796875" defaultRowHeight="14.4" x14ac:dyDescent="0.3"/>
  <cols>
    <col min="1" max="1" width="8.796875" style="28"/>
    <col min="2" max="2" width="10.8984375" style="28" customWidth="1"/>
    <col min="3" max="3" width="11.19921875" style="28" customWidth="1"/>
    <col min="4" max="4" width="11.3984375" style="33" customWidth="1"/>
    <col min="5" max="5" width="9.09765625" style="28" customWidth="1"/>
    <col min="6" max="6" width="22.09765625" style="28" customWidth="1"/>
    <col min="7" max="9" width="11.3984375" style="28" customWidth="1"/>
    <col min="10" max="10" width="14" style="28" customWidth="1"/>
    <col min="11" max="11" width="11.3984375" style="28" customWidth="1"/>
    <col min="12" max="13" width="23.796875" style="28" customWidth="1"/>
    <col min="14" max="14" width="11.3984375" style="29" customWidth="1"/>
    <col min="15" max="15" width="15.296875" style="28" bestFit="1" customWidth="1"/>
    <col min="16" max="16" width="8.59765625" style="28" customWidth="1"/>
    <col min="17" max="16384" width="8.796875" style="28"/>
  </cols>
  <sheetData>
    <row r="1" spans="1:19" ht="17.100000000000001" customHeight="1" x14ac:dyDescent="0.3">
      <c r="C1" s="13"/>
      <c r="D1" s="14"/>
      <c r="E1" s="13"/>
      <c r="F1" s="13"/>
      <c r="G1" s="13"/>
      <c r="O1" s="15" t="s">
        <v>0</v>
      </c>
      <c r="R1" s="13"/>
      <c r="S1" s="13"/>
    </row>
    <row r="2" spans="1:19" ht="17.100000000000001" customHeight="1" x14ac:dyDescent="0.3">
      <c r="B2" s="13"/>
      <c r="D2" s="14"/>
      <c r="E2" s="13"/>
      <c r="F2" s="13"/>
      <c r="G2" s="13"/>
      <c r="M2" s="15" t="s">
        <v>1</v>
      </c>
      <c r="R2" s="13"/>
      <c r="S2" s="13"/>
    </row>
    <row r="3" spans="1:19" ht="17.100000000000001" customHeight="1" x14ac:dyDescent="0.3">
      <c r="B3" s="13"/>
      <c r="C3" s="13"/>
      <c r="D3" s="14"/>
      <c r="E3" s="13"/>
      <c r="F3" s="13"/>
      <c r="G3" s="13"/>
      <c r="M3" s="15" t="s">
        <v>2</v>
      </c>
      <c r="R3" s="13"/>
      <c r="S3" s="13"/>
    </row>
    <row r="4" spans="1:19" ht="17.100000000000001" customHeight="1" x14ac:dyDescent="0.3">
      <c r="B4" s="13"/>
      <c r="C4" s="13"/>
      <c r="D4" s="14"/>
      <c r="E4" s="13"/>
      <c r="F4" s="13"/>
      <c r="G4" s="13"/>
      <c r="M4" s="15" t="s">
        <v>3</v>
      </c>
      <c r="R4" s="13"/>
      <c r="S4" s="13"/>
    </row>
    <row r="5" spans="1:19" s="30" customFormat="1" ht="2.25" customHeight="1" x14ac:dyDescent="0.3">
      <c r="A5" s="28"/>
      <c r="D5" s="31"/>
      <c r="N5" s="32"/>
    </row>
    <row r="6" spans="1:19" s="1" customFormat="1" ht="2.25" customHeight="1" x14ac:dyDescent="0.3">
      <c r="A6" s="20"/>
      <c r="D6" s="2"/>
      <c r="N6" s="3"/>
    </row>
    <row r="7" spans="1:19" ht="18" x14ac:dyDescent="0.35">
      <c r="A7" s="33"/>
      <c r="B7" s="172" t="s">
        <v>155</v>
      </c>
      <c r="C7" s="172"/>
      <c r="D7" s="172"/>
      <c r="E7" s="172"/>
      <c r="F7" s="172"/>
      <c r="G7" s="172"/>
      <c r="H7" s="172"/>
      <c r="I7" s="172"/>
      <c r="J7" s="172"/>
      <c r="K7" s="172"/>
      <c r="L7" s="172"/>
      <c r="M7" s="172"/>
      <c r="N7" s="172"/>
      <c r="O7" s="172"/>
      <c r="P7" s="4"/>
      <c r="Q7" s="4"/>
    </row>
    <row r="8" spans="1:19" x14ac:dyDescent="0.3">
      <c r="B8" s="34" t="s">
        <v>4</v>
      </c>
      <c r="C8" s="34"/>
      <c r="D8" s="35"/>
      <c r="E8" s="34" t="s">
        <v>5</v>
      </c>
      <c r="F8" s="36"/>
      <c r="G8" s="34" t="s">
        <v>6</v>
      </c>
      <c r="H8" s="37">
        <v>118518</v>
      </c>
      <c r="I8" s="37"/>
      <c r="J8" s="34" t="s">
        <v>7</v>
      </c>
      <c r="K8" s="37">
        <v>7105364</v>
      </c>
      <c r="L8" s="37"/>
      <c r="M8" s="37"/>
      <c r="N8" s="38"/>
      <c r="O8" s="37"/>
    </row>
    <row r="9" spans="1:19" ht="15" thickBot="1" x14ac:dyDescent="0.35">
      <c r="B9" s="39" t="s">
        <v>8</v>
      </c>
      <c r="C9" s="39"/>
      <c r="D9" s="40"/>
      <c r="E9" s="39" t="s">
        <v>5</v>
      </c>
      <c r="F9" s="41"/>
      <c r="G9" s="39" t="s">
        <v>9</v>
      </c>
      <c r="H9" s="40"/>
      <c r="I9" s="42"/>
      <c r="J9" s="42"/>
      <c r="K9" s="42"/>
      <c r="L9" s="42"/>
      <c r="M9" s="42"/>
      <c r="N9" s="43"/>
      <c r="O9" s="42"/>
    </row>
    <row r="10" spans="1:19" ht="15" hidden="1" thickBot="1" x14ac:dyDescent="0.35">
      <c r="B10" s="39" t="s">
        <v>10</v>
      </c>
      <c r="C10" s="40" t="s">
        <v>11</v>
      </c>
      <c r="D10" s="42"/>
      <c r="E10" s="42"/>
      <c r="F10" s="42"/>
      <c r="I10" s="42"/>
      <c r="J10" s="42"/>
      <c r="K10" s="42"/>
      <c r="L10" s="42"/>
      <c r="M10" s="42"/>
      <c r="N10" s="43"/>
      <c r="O10" s="42"/>
    </row>
    <row r="11" spans="1:19" ht="15" hidden="1" thickBot="1" x14ac:dyDescent="0.35"/>
    <row r="12" spans="1:19" ht="15" customHeight="1" x14ac:dyDescent="0.3">
      <c r="A12" s="33"/>
      <c r="B12" s="173" t="s">
        <v>77</v>
      </c>
      <c r="C12" s="174"/>
      <c r="D12" s="174"/>
      <c r="E12" s="174"/>
      <c r="F12" s="174"/>
      <c r="G12" s="174"/>
      <c r="H12" s="174"/>
      <c r="I12" s="174"/>
      <c r="J12" s="174"/>
      <c r="K12" s="44" t="s">
        <v>12</v>
      </c>
      <c r="L12" s="45" t="s">
        <v>156</v>
      </c>
      <c r="M12" s="108"/>
      <c r="N12" s="46" t="str">
        <f>E8</f>
        <v>Date:</v>
      </c>
      <c r="O12" s="47">
        <v>45473</v>
      </c>
    </row>
    <row r="13" spans="1:19" ht="15" customHeight="1" thickBot="1" x14ac:dyDescent="0.35">
      <c r="A13" s="33"/>
      <c r="B13" s="175"/>
      <c r="C13" s="176"/>
      <c r="D13" s="176"/>
      <c r="E13" s="176"/>
      <c r="F13" s="176"/>
      <c r="G13" s="176"/>
      <c r="H13" s="176"/>
      <c r="I13" s="176"/>
      <c r="J13" s="176"/>
      <c r="K13" s="48" t="s">
        <v>13</v>
      </c>
      <c r="L13" s="49" t="s">
        <v>165</v>
      </c>
      <c r="M13" s="109"/>
      <c r="N13" s="50" t="str">
        <f>E9</f>
        <v>Date:</v>
      </c>
      <c r="O13" s="51">
        <v>45474</v>
      </c>
    </row>
    <row r="14" spans="1:19" x14ac:dyDescent="0.3">
      <c r="A14" s="33"/>
      <c r="B14" s="52" t="s">
        <v>14</v>
      </c>
      <c r="C14" s="53" t="s">
        <v>15</v>
      </c>
      <c r="D14" s="54" t="s">
        <v>16</v>
      </c>
      <c r="E14" s="53" t="s">
        <v>17</v>
      </c>
      <c r="F14" s="55" t="s">
        <v>18</v>
      </c>
      <c r="G14" s="56"/>
      <c r="H14" s="56"/>
      <c r="I14" s="56"/>
      <c r="J14" s="56"/>
      <c r="K14" s="56"/>
      <c r="L14" s="56"/>
      <c r="M14" s="110"/>
      <c r="N14" s="102" t="s">
        <v>19</v>
      </c>
      <c r="O14" s="57" t="s">
        <v>20</v>
      </c>
    </row>
    <row r="15" spans="1:19" x14ac:dyDescent="0.3">
      <c r="B15" s="58">
        <v>202</v>
      </c>
      <c r="C15" s="24" t="s">
        <v>166</v>
      </c>
      <c r="D15" s="59">
        <v>1</v>
      </c>
      <c r="E15" s="60" t="s">
        <v>78</v>
      </c>
      <c r="F15" s="23" t="s">
        <v>167</v>
      </c>
      <c r="G15" s="40"/>
      <c r="H15" s="40"/>
      <c r="I15" s="40"/>
      <c r="J15" s="40"/>
      <c r="K15" s="40"/>
      <c r="L15" s="40"/>
      <c r="M15" s="111"/>
      <c r="N15" s="103">
        <v>100000</v>
      </c>
      <c r="O15" s="61">
        <f>N15*D15</f>
        <v>100000</v>
      </c>
    </row>
    <row r="16" spans="1:19" x14ac:dyDescent="0.3">
      <c r="B16" s="58">
        <v>202</v>
      </c>
      <c r="C16" s="24">
        <v>22900</v>
      </c>
      <c r="D16" s="59">
        <f>D85</f>
        <v>212</v>
      </c>
      <c r="E16" s="60" t="s">
        <v>25</v>
      </c>
      <c r="F16" s="23" t="s">
        <v>143</v>
      </c>
      <c r="G16" s="40"/>
      <c r="H16" s="40"/>
      <c r="I16" s="40"/>
      <c r="J16" s="40"/>
      <c r="K16" s="40"/>
      <c r="L16" s="40"/>
      <c r="M16" s="111"/>
      <c r="N16" s="103">
        <v>51.15</v>
      </c>
      <c r="O16" s="61">
        <f>N16*D16</f>
        <v>10843.8</v>
      </c>
    </row>
    <row r="17" spans="1:15" x14ac:dyDescent="0.3">
      <c r="A17" s="33"/>
      <c r="B17" s="58"/>
      <c r="C17" s="24"/>
      <c r="D17" s="59"/>
      <c r="E17" s="60"/>
      <c r="F17" s="23"/>
      <c r="G17" s="40"/>
      <c r="H17" s="40"/>
      <c r="I17" s="40"/>
      <c r="J17" s="40"/>
      <c r="K17" s="40"/>
      <c r="L17" s="40"/>
      <c r="M17" s="111"/>
      <c r="N17" s="103"/>
      <c r="O17" s="61"/>
    </row>
    <row r="18" spans="1:15" x14ac:dyDescent="0.3">
      <c r="A18" s="33"/>
      <c r="B18" s="62">
        <v>203</v>
      </c>
      <c r="C18" s="26">
        <v>10000</v>
      </c>
      <c r="D18" s="63">
        <f>D93</f>
        <v>160</v>
      </c>
      <c r="E18" s="26" t="s">
        <v>24</v>
      </c>
      <c r="F18" s="27" t="s">
        <v>144</v>
      </c>
      <c r="G18" s="35"/>
      <c r="H18" s="35"/>
      <c r="I18" s="35"/>
      <c r="J18" s="35"/>
      <c r="K18" s="35"/>
      <c r="L18" s="35"/>
      <c r="M18" s="112"/>
      <c r="N18" s="103">
        <v>31.92</v>
      </c>
      <c r="O18" s="61">
        <f>N18*D18</f>
        <v>5107.2000000000007</v>
      </c>
    </row>
    <row r="19" spans="1:15" x14ac:dyDescent="0.3">
      <c r="B19" s="58">
        <v>203</v>
      </c>
      <c r="C19" s="24" t="s">
        <v>164</v>
      </c>
      <c r="D19" s="59">
        <f>D122</f>
        <v>464.70281854407631</v>
      </c>
      <c r="E19" s="26" t="s">
        <v>24</v>
      </c>
      <c r="F19" s="23" t="s">
        <v>145</v>
      </c>
      <c r="G19" s="40"/>
      <c r="H19" s="40"/>
      <c r="I19" s="40"/>
      <c r="J19" s="40"/>
      <c r="K19" s="40"/>
      <c r="L19" s="40"/>
      <c r="M19" s="111"/>
      <c r="N19" s="103">
        <v>37.5</v>
      </c>
      <c r="O19" s="61">
        <f>N19*D19</f>
        <v>17426.355695402861</v>
      </c>
    </row>
    <row r="20" spans="1:15" x14ac:dyDescent="0.3">
      <c r="B20" s="62"/>
      <c r="C20" s="25"/>
      <c r="D20" s="63"/>
      <c r="E20" s="26"/>
      <c r="F20" s="27"/>
      <c r="G20" s="35"/>
      <c r="H20" s="35"/>
      <c r="I20" s="35"/>
      <c r="J20" s="35"/>
      <c r="K20" s="35"/>
      <c r="L20" s="35"/>
      <c r="M20" s="112"/>
      <c r="N20" s="104"/>
      <c r="O20" s="61"/>
    </row>
    <row r="21" spans="1:15" x14ac:dyDescent="0.3">
      <c r="B21" s="62">
        <v>503</v>
      </c>
      <c r="C21" s="122" t="s">
        <v>233</v>
      </c>
      <c r="D21" s="63">
        <v>1</v>
      </c>
      <c r="E21" s="26" t="s">
        <v>78</v>
      </c>
      <c r="F21" s="124" t="s">
        <v>235</v>
      </c>
      <c r="G21" s="35"/>
      <c r="H21" s="35"/>
      <c r="I21" s="35"/>
      <c r="J21" s="35"/>
      <c r="K21" s="35"/>
      <c r="L21" s="35"/>
      <c r="M21" s="112"/>
      <c r="N21" s="104">
        <v>25000</v>
      </c>
      <c r="O21" s="61">
        <f>N21*D21</f>
        <v>25000</v>
      </c>
    </row>
    <row r="22" spans="1:15" x14ac:dyDescent="0.3">
      <c r="B22" s="58">
        <v>503</v>
      </c>
      <c r="C22" s="123" t="s">
        <v>234</v>
      </c>
      <c r="D22" s="63">
        <v>1</v>
      </c>
      <c r="E22" s="26" t="s">
        <v>78</v>
      </c>
      <c r="F22" s="124" t="s">
        <v>236</v>
      </c>
      <c r="G22" s="35"/>
      <c r="H22" s="35"/>
      <c r="I22" s="35"/>
      <c r="J22" s="35"/>
      <c r="K22" s="35"/>
      <c r="L22" s="35"/>
      <c r="M22" s="112"/>
      <c r="N22" s="104">
        <v>30000</v>
      </c>
      <c r="O22" s="61">
        <f>N22*D22</f>
        <v>30000</v>
      </c>
    </row>
    <row r="23" spans="1:15" x14ac:dyDescent="0.3">
      <c r="B23" s="58">
        <v>503</v>
      </c>
      <c r="C23" s="91" t="s">
        <v>213</v>
      </c>
      <c r="D23" s="59">
        <f>D160</f>
        <v>35</v>
      </c>
      <c r="E23" s="92" t="s">
        <v>24</v>
      </c>
      <c r="F23" s="93" t="s">
        <v>214</v>
      </c>
      <c r="G23" s="40"/>
      <c r="H23" s="40"/>
      <c r="I23" s="40"/>
      <c r="J23" s="40"/>
      <c r="K23" s="40"/>
      <c r="L23" s="40"/>
      <c r="M23" s="111"/>
      <c r="N23" s="103">
        <v>143.5</v>
      </c>
      <c r="O23" s="61">
        <f>N23*D23</f>
        <v>5022.5</v>
      </c>
    </row>
    <row r="24" spans="1:15" x14ac:dyDescent="0.3">
      <c r="A24" s="33"/>
      <c r="B24" s="62"/>
      <c r="C24" s="26"/>
      <c r="D24" s="63"/>
      <c r="E24" s="26"/>
      <c r="F24" s="27"/>
      <c r="G24" s="35"/>
      <c r="H24" s="35"/>
      <c r="I24" s="35"/>
      <c r="J24" s="35"/>
      <c r="K24" s="35"/>
      <c r="L24" s="35"/>
      <c r="M24" s="112"/>
      <c r="N24" s="105"/>
      <c r="O24" s="61"/>
    </row>
    <row r="25" spans="1:15" x14ac:dyDescent="0.3">
      <c r="A25" s="33"/>
      <c r="B25" s="58">
        <v>507</v>
      </c>
      <c r="C25" s="129" t="s">
        <v>258</v>
      </c>
      <c r="D25" s="59">
        <f>D167</f>
        <v>700</v>
      </c>
      <c r="E25" s="60" t="s">
        <v>23</v>
      </c>
      <c r="F25" s="127" t="s">
        <v>251</v>
      </c>
      <c r="G25" s="40"/>
      <c r="H25" s="40"/>
      <c r="I25" s="40"/>
      <c r="J25" s="40"/>
      <c r="K25" s="40"/>
      <c r="L25" s="40"/>
      <c r="M25" s="111"/>
      <c r="N25" s="103">
        <v>40.83</v>
      </c>
      <c r="O25" s="61">
        <f>N25*D25</f>
        <v>28581</v>
      </c>
    </row>
    <row r="26" spans="1:15" x14ac:dyDescent="0.3">
      <c r="A26" s="33"/>
      <c r="B26" s="62">
        <v>507</v>
      </c>
      <c r="C26" s="96" t="s">
        <v>217</v>
      </c>
      <c r="D26" s="63">
        <f>D175</f>
        <v>457.00000000000045</v>
      </c>
      <c r="E26" s="26" t="s">
        <v>23</v>
      </c>
      <c r="F26" s="97" t="s">
        <v>218</v>
      </c>
      <c r="G26" s="35"/>
      <c r="H26" s="35"/>
      <c r="I26" s="35"/>
      <c r="J26" s="35"/>
      <c r="K26" s="35"/>
      <c r="L26" s="35"/>
      <c r="M26" s="112"/>
      <c r="N26" s="103">
        <v>127.38</v>
      </c>
      <c r="O26" s="61">
        <f>N26*D26</f>
        <v>58212.660000000054</v>
      </c>
    </row>
    <row r="27" spans="1:15" x14ac:dyDescent="0.3">
      <c r="A27" s="33"/>
      <c r="B27" s="62"/>
      <c r="C27" s="26"/>
      <c r="D27" s="63"/>
      <c r="E27" s="26"/>
      <c r="F27" s="27"/>
      <c r="G27" s="35"/>
      <c r="H27" s="35"/>
      <c r="I27" s="35"/>
      <c r="J27" s="35"/>
      <c r="K27" s="35"/>
      <c r="L27" s="35"/>
      <c r="M27" s="112"/>
      <c r="N27" s="105"/>
      <c r="O27" s="90"/>
    </row>
    <row r="28" spans="1:15" x14ac:dyDescent="0.3">
      <c r="A28" s="33"/>
      <c r="B28" s="58">
        <v>509</v>
      </c>
      <c r="C28" s="24" t="s">
        <v>21</v>
      </c>
      <c r="D28" s="59">
        <f>D189</f>
        <v>50700</v>
      </c>
      <c r="E28" s="60" t="s">
        <v>22</v>
      </c>
      <c r="F28" s="23" t="s">
        <v>80</v>
      </c>
      <c r="G28" s="40"/>
      <c r="H28" s="40"/>
      <c r="I28" s="40"/>
      <c r="J28" s="40"/>
      <c r="K28" s="40"/>
      <c r="L28" s="40"/>
      <c r="M28" s="111"/>
      <c r="N28" s="103">
        <v>1.94</v>
      </c>
      <c r="O28" s="61">
        <f>N28*D28</f>
        <v>98358</v>
      </c>
    </row>
    <row r="29" spans="1:15" x14ac:dyDescent="0.3">
      <c r="A29" s="33"/>
      <c r="B29" s="58"/>
      <c r="C29" s="24"/>
      <c r="D29" s="59"/>
      <c r="E29" s="60"/>
      <c r="F29" s="23"/>
      <c r="G29" s="40"/>
      <c r="H29" s="40"/>
      <c r="I29" s="40"/>
      <c r="J29" s="40"/>
      <c r="K29" s="40"/>
      <c r="L29" s="40"/>
      <c r="M29" s="111"/>
      <c r="N29" s="103"/>
      <c r="O29" s="61"/>
    </row>
    <row r="30" spans="1:15" x14ac:dyDescent="0.3">
      <c r="A30" s="33"/>
      <c r="B30" s="58">
        <v>511</v>
      </c>
      <c r="C30" s="24" t="s">
        <v>81</v>
      </c>
      <c r="D30" s="59">
        <f>D206</f>
        <v>127</v>
      </c>
      <c r="E30" s="60" t="s">
        <v>24</v>
      </c>
      <c r="F30" s="23" t="s">
        <v>82</v>
      </c>
      <c r="G30" s="40"/>
      <c r="H30" s="40"/>
      <c r="I30" s="40"/>
      <c r="J30" s="40"/>
      <c r="K30" s="40"/>
      <c r="L30" s="40"/>
      <c r="M30" s="111"/>
      <c r="N30" s="103">
        <v>1637.79</v>
      </c>
      <c r="O30" s="61">
        <f>N30*D30</f>
        <v>207999.33</v>
      </c>
    </row>
    <row r="31" spans="1:15" x14ac:dyDescent="0.3">
      <c r="A31" s="33"/>
      <c r="B31" s="58">
        <v>511</v>
      </c>
      <c r="C31" s="24" t="s">
        <v>141</v>
      </c>
      <c r="D31" s="59">
        <f>D241</f>
        <v>146</v>
      </c>
      <c r="E31" s="60" t="s">
        <v>24</v>
      </c>
      <c r="F31" s="23" t="s">
        <v>140</v>
      </c>
      <c r="G31" s="40"/>
      <c r="H31" s="40"/>
      <c r="I31" s="40"/>
      <c r="J31" s="40"/>
      <c r="K31" s="40"/>
      <c r="L31" s="40"/>
      <c r="M31" s="111"/>
      <c r="N31" s="103">
        <v>848.45</v>
      </c>
      <c r="O31" s="61">
        <f>N31*D31</f>
        <v>123873.70000000001</v>
      </c>
    </row>
    <row r="32" spans="1:15" x14ac:dyDescent="0.3">
      <c r="A32" s="33"/>
      <c r="B32" s="58"/>
      <c r="C32" s="24"/>
      <c r="D32" s="59"/>
      <c r="E32" s="60"/>
      <c r="F32" s="23"/>
      <c r="G32" s="40"/>
      <c r="H32" s="40"/>
      <c r="I32" s="40"/>
      <c r="J32" s="40"/>
      <c r="K32" s="40"/>
      <c r="L32" s="40"/>
      <c r="M32" s="111"/>
      <c r="N32" s="103"/>
      <c r="O32" s="61"/>
    </row>
    <row r="33" spans="1:15" x14ac:dyDescent="0.3">
      <c r="A33" s="33"/>
      <c r="B33" s="58">
        <v>512</v>
      </c>
      <c r="C33" s="24">
        <v>10100</v>
      </c>
      <c r="D33" s="59">
        <f>D270</f>
        <v>324</v>
      </c>
      <c r="E33" s="60" t="s">
        <v>25</v>
      </c>
      <c r="F33" s="23" t="s">
        <v>26</v>
      </c>
      <c r="G33" s="40"/>
      <c r="H33" s="40"/>
      <c r="I33" s="40"/>
      <c r="J33" s="40"/>
      <c r="K33" s="40"/>
      <c r="L33" s="40"/>
      <c r="M33" s="111"/>
      <c r="N33" s="103">
        <v>38.85</v>
      </c>
      <c r="O33" s="61">
        <f>N33*D33</f>
        <v>12587.4</v>
      </c>
    </row>
    <row r="34" spans="1:15" x14ac:dyDescent="0.3">
      <c r="A34" s="33"/>
      <c r="B34" s="58"/>
      <c r="C34" s="24"/>
      <c r="D34" s="59"/>
      <c r="E34" s="60"/>
      <c r="F34" s="23"/>
      <c r="G34" s="40"/>
      <c r="H34" s="40"/>
      <c r="I34" s="40"/>
      <c r="J34" s="40"/>
      <c r="K34" s="40"/>
      <c r="L34" s="40"/>
      <c r="M34" s="111"/>
      <c r="N34" s="103"/>
      <c r="O34" s="61"/>
    </row>
    <row r="35" spans="1:15" x14ac:dyDescent="0.3">
      <c r="A35" s="33"/>
      <c r="B35" s="58">
        <v>515</v>
      </c>
      <c r="C35" s="24" t="s">
        <v>157</v>
      </c>
      <c r="D35" s="59">
        <f>D301</f>
        <v>5</v>
      </c>
      <c r="E35" s="60" t="s">
        <v>27</v>
      </c>
      <c r="F35" s="127" t="s">
        <v>259</v>
      </c>
      <c r="G35" s="40"/>
      <c r="H35" s="40"/>
      <c r="I35" s="40"/>
      <c r="J35" s="40"/>
      <c r="K35" s="40"/>
      <c r="L35" s="40"/>
      <c r="M35" s="111"/>
      <c r="N35" s="103">
        <v>32500</v>
      </c>
      <c r="O35" s="61">
        <v>162500</v>
      </c>
    </row>
    <row r="36" spans="1:15" x14ac:dyDescent="0.3">
      <c r="A36" s="33"/>
      <c r="B36" s="58">
        <v>515</v>
      </c>
      <c r="C36" s="24" t="s">
        <v>79</v>
      </c>
      <c r="D36" s="64">
        <f>D306</f>
        <v>4</v>
      </c>
      <c r="E36" s="60" t="s">
        <v>27</v>
      </c>
      <c r="F36" s="23" t="s">
        <v>83</v>
      </c>
      <c r="G36" s="40"/>
      <c r="H36" s="40"/>
      <c r="I36" s="40"/>
      <c r="J36" s="40"/>
      <c r="K36" s="40"/>
      <c r="L36" s="40"/>
      <c r="M36" s="111"/>
      <c r="N36" s="103">
        <v>3033.99</v>
      </c>
      <c r="O36" s="61">
        <f>N36*D36</f>
        <v>12135.96</v>
      </c>
    </row>
    <row r="37" spans="1:15" x14ac:dyDescent="0.3">
      <c r="A37" s="33"/>
      <c r="B37" s="65"/>
      <c r="C37" s="66"/>
      <c r="D37" s="64"/>
      <c r="E37" s="67"/>
      <c r="F37" s="23"/>
      <c r="G37" s="40"/>
      <c r="H37" s="40"/>
      <c r="I37" s="40"/>
      <c r="J37" s="40"/>
      <c r="K37" s="40"/>
      <c r="L37" s="40"/>
      <c r="M37" s="111"/>
      <c r="N37" s="103"/>
      <c r="O37" s="61"/>
    </row>
    <row r="38" spans="1:15" x14ac:dyDescent="0.3">
      <c r="A38" s="33"/>
      <c r="B38" s="65">
        <v>516</v>
      </c>
      <c r="C38" s="125" t="s">
        <v>242</v>
      </c>
      <c r="D38" s="64">
        <f>D313</f>
        <v>79</v>
      </c>
      <c r="E38" s="126" t="s">
        <v>245</v>
      </c>
      <c r="F38" s="124" t="s">
        <v>246</v>
      </c>
      <c r="G38" s="40"/>
      <c r="H38" s="40"/>
      <c r="I38" s="40"/>
      <c r="J38" s="40"/>
      <c r="K38" s="40"/>
      <c r="L38" s="40"/>
      <c r="M38" s="111"/>
      <c r="N38" s="103">
        <v>3035.99</v>
      </c>
      <c r="O38" s="61">
        <f t="shared" ref="O38:O40" si="0">N38*D38</f>
        <v>239843.21</v>
      </c>
    </row>
    <row r="39" spans="1:15" x14ac:dyDescent="0.3">
      <c r="A39" s="33"/>
      <c r="B39" s="65">
        <v>516</v>
      </c>
      <c r="C39" s="125" t="s">
        <v>243</v>
      </c>
      <c r="D39" s="64">
        <f>D319</f>
        <v>79</v>
      </c>
      <c r="E39" s="126" t="s">
        <v>245</v>
      </c>
      <c r="F39" s="124" t="s">
        <v>247</v>
      </c>
      <c r="G39" s="40"/>
      <c r="H39" s="40"/>
      <c r="I39" s="40"/>
      <c r="J39" s="40"/>
      <c r="K39" s="40"/>
      <c r="L39" s="40"/>
      <c r="M39" s="111"/>
      <c r="N39" s="103">
        <v>3036.99</v>
      </c>
      <c r="O39" s="61">
        <f t="shared" si="0"/>
        <v>239922.21</v>
      </c>
    </row>
    <row r="40" spans="1:15" x14ac:dyDescent="0.3">
      <c r="A40" s="33"/>
      <c r="B40" s="65">
        <v>516</v>
      </c>
      <c r="C40" s="125" t="s">
        <v>244</v>
      </c>
      <c r="D40" s="64">
        <f>D325</f>
        <v>65</v>
      </c>
      <c r="E40" s="126" t="s">
        <v>245</v>
      </c>
      <c r="F40" s="124" t="s">
        <v>248</v>
      </c>
      <c r="G40" s="40"/>
      <c r="H40" s="40"/>
      <c r="I40" s="40"/>
      <c r="J40" s="40"/>
      <c r="K40" s="40"/>
      <c r="L40" s="40"/>
      <c r="M40" s="111"/>
      <c r="N40" s="103">
        <v>3037.99</v>
      </c>
      <c r="O40" s="61">
        <f t="shared" si="0"/>
        <v>197469.34999999998</v>
      </c>
    </row>
    <row r="41" spans="1:15" x14ac:dyDescent="0.3">
      <c r="A41" s="33"/>
      <c r="B41" s="65">
        <v>516</v>
      </c>
      <c r="C41" s="66" t="s">
        <v>163</v>
      </c>
      <c r="D41" s="59">
        <f>D332</f>
        <v>104.676</v>
      </c>
      <c r="E41" s="67" t="s">
        <v>23</v>
      </c>
      <c r="F41" s="23" t="s">
        <v>146</v>
      </c>
      <c r="G41" s="40"/>
      <c r="H41" s="40"/>
      <c r="I41" s="40"/>
      <c r="J41" s="40"/>
      <c r="K41" s="40"/>
      <c r="L41" s="40"/>
      <c r="M41" s="111"/>
      <c r="N41" s="103">
        <v>42.15</v>
      </c>
      <c r="O41" s="61">
        <f>N41*D41</f>
        <v>4412.0933999999997</v>
      </c>
    </row>
    <row r="42" spans="1:15" x14ac:dyDescent="0.3">
      <c r="A42" s="33"/>
      <c r="B42" s="65">
        <v>516</v>
      </c>
      <c r="C42" s="125" t="s">
        <v>237</v>
      </c>
      <c r="D42" s="59">
        <f>D341</f>
        <v>10</v>
      </c>
      <c r="E42" s="67" t="s">
        <v>27</v>
      </c>
      <c r="F42" s="127" t="s">
        <v>252</v>
      </c>
      <c r="G42" s="40"/>
      <c r="H42" s="40"/>
      <c r="I42" s="40"/>
      <c r="J42" s="40"/>
      <c r="K42" s="40"/>
      <c r="L42" s="40"/>
      <c r="M42" s="111"/>
      <c r="N42" s="103">
        <v>845</v>
      </c>
      <c r="O42" s="61">
        <f>N42*D42</f>
        <v>8450</v>
      </c>
    </row>
    <row r="43" spans="1:15" x14ac:dyDescent="0.3">
      <c r="A43" s="33"/>
      <c r="B43" s="65"/>
      <c r="C43" s="66"/>
      <c r="D43" s="59"/>
      <c r="E43" s="67"/>
      <c r="F43" s="23"/>
      <c r="G43" s="40"/>
      <c r="H43" s="40"/>
      <c r="I43" s="40"/>
      <c r="J43" s="40"/>
      <c r="K43" s="40"/>
      <c r="L43" s="40"/>
      <c r="M43" s="111"/>
      <c r="N43" s="103"/>
      <c r="O43" s="61"/>
    </row>
    <row r="44" spans="1:15" x14ac:dyDescent="0.3">
      <c r="A44" s="33"/>
      <c r="B44" s="65">
        <v>517</v>
      </c>
      <c r="C44" s="66" t="s">
        <v>194</v>
      </c>
      <c r="D44" s="59">
        <f>D347</f>
        <v>171</v>
      </c>
      <c r="E44" s="67" t="s">
        <v>23</v>
      </c>
      <c r="F44" s="23" t="s">
        <v>195</v>
      </c>
      <c r="G44" s="40"/>
      <c r="H44" s="40"/>
      <c r="I44" s="40"/>
      <c r="J44" s="40"/>
      <c r="K44" s="40"/>
      <c r="L44" s="40"/>
      <c r="M44" s="111"/>
      <c r="N44" s="103">
        <v>519.33000000000004</v>
      </c>
      <c r="O44" s="61">
        <f>N44*D44</f>
        <v>88805.430000000008</v>
      </c>
    </row>
    <row r="45" spans="1:15" x14ac:dyDescent="0.3">
      <c r="A45" s="33"/>
      <c r="B45" s="65"/>
      <c r="C45" s="66"/>
      <c r="D45" s="59"/>
      <c r="E45" s="67"/>
      <c r="F45" s="23"/>
      <c r="G45" s="40"/>
      <c r="H45" s="40"/>
      <c r="I45" s="40"/>
      <c r="J45" s="40"/>
      <c r="K45" s="40"/>
      <c r="L45" s="40"/>
      <c r="M45" s="111"/>
      <c r="N45" s="103"/>
      <c r="O45" s="61"/>
    </row>
    <row r="46" spans="1:15" x14ac:dyDescent="0.3">
      <c r="A46" s="33"/>
      <c r="B46" s="65">
        <v>518</v>
      </c>
      <c r="C46" s="125" t="s">
        <v>238</v>
      </c>
      <c r="D46" s="59">
        <f>D351</f>
        <v>462</v>
      </c>
      <c r="E46" s="67" t="s">
        <v>24</v>
      </c>
      <c r="F46" s="124" t="s">
        <v>239</v>
      </c>
      <c r="G46" s="40"/>
      <c r="H46" s="40"/>
      <c r="I46" s="40"/>
      <c r="J46" s="40"/>
      <c r="K46" s="40"/>
      <c r="L46" s="40"/>
      <c r="M46" s="111"/>
      <c r="N46" s="103">
        <v>121.19</v>
      </c>
      <c r="O46" s="61">
        <f>N46*D46</f>
        <v>55989.78</v>
      </c>
    </row>
    <row r="47" spans="1:15" x14ac:dyDescent="0.3">
      <c r="A47" s="33"/>
      <c r="B47" s="65">
        <v>518</v>
      </c>
      <c r="C47" s="66" t="s">
        <v>85</v>
      </c>
      <c r="D47" s="59">
        <f>D372</f>
        <v>147</v>
      </c>
      <c r="E47" s="67" t="s">
        <v>23</v>
      </c>
      <c r="F47" s="23" t="s">
        <v>84</v>
      </c>
      <c r="G47" s="40"/>
      <c r="H47" s="40"/>
      <c r="I47" s="40"/>
      <c r="J47" s="40"/>
      <c r="K47" s="40"/>
      <c r="L47" s="40"/>
      <c r="M47" s="111"/>
      <c r="N47" s="103">
        <v>12.16</v>
      </c>
      <c r="O47" s="61">
        <f>N47*D47</f>
        <v>1787.52</v>
      </c>
    </row>
    <row r="48" spans="1:15" x14ac:dyDescent="0.3">
      <c r="A48" s="33"/>
      <c r="B48" s="65">
        <v>518</v>
      </c>
      <c r="C48" s="66" t="s">
        <v>86</v>
      </c>
      <c r="D48" s="59">
        <f>D377</f>
        <v>60</v>
      </c>
      <c r="E48" s="67" t="s">
        <v>23</v>
      </c>
      <c r="F48" s="23" t="s">
        <v>87</v>
      </c>
      <c r="G48" s="40"/>
      <c r="H48" s="40"/>
      <c r="I48" s="40"/>
      <c r="J48" s="40"/>
      <c r="K48" s="40"/>
      <c r="L48" s="40"/>
      <c r="M48" s="111"/>
      <c r="N48" s="103">
        <v>22.85</v>
      </c>
      <c r="O48" s="61">
        <f>N48*D48</f>
        <v>1371</v>
      </c>
    </row>
    <row r="49" spans="1:16" x14ac:dyDescent="0.3">
      <c r="A49" s="33"/>
      <c r="B49" s="65"/>
      <c r="C49" s="66"/>
      <c r="D49" s="59"/>
      <c r="E49" s="67"/>
      <c r="F49" s="23"/>
      <c r="G49" s="40"/>
      <c r="H49" s="40"/>
      <c r="I49" s="40"/>
      <c r="J49" s="40"/>
      <c r="K49" s="40"/>
      <c r="L49" s="40"/>
      <c r="M49" s="111"/>
      <c r="N49" s="103"/>
      <c r="O49" s="61"/>
    </row>
    <row r="50" spans="1:16" x14ac:dyDescent="0.3">
      <c r="A50" s="33"/>
      <c r="B50" s="65">
        <v>526</v>
      </c>
      <c r="C50" s="66" t="s">
        <v>157</v>
      </c>
      <c r="D50" s="59">
        <f>D383</f>
        <v>160</v>
      </c>
      <c r="E50" s="67" t="s">
        <v>25</v>
      </c>
      <c r="F50" s="23" t="s">
        <v>159</v>
      </c>
      <c r="G50" s="40"/>
      <c r="H50" s="40"/>
      <c r="I50" s="40"/>
      <c r="J50" s="40"/>
      <c r="K50" s="40"/>
      <c r="L50" s="40"/>
      <c r="M50" s="111"/>
      <c r="N50" s="103">
        <v>352.43</v>
      </c>
      <c r="O50" s="61">
        <f>N50*D50</f>
        <v>56388.800000000003</v>
      </c>
      <c r="P50" s="5"/>
    </row>
    <row r="51" spans="1:16" x14ac:dyDescent="0.3">
      <c r="A51" s="33"/>
      <c r="B51" s="65">
        <v>526</v>
      </c>
      <c r="C51" s="66">
        <v>90010</v>
      </c>
      <c r="D51" s="59">
        <f>D390</f>
        <v>73</v>
      </c>
      <c r="E51" s="67" t="s">
        <v>23</v>
      </c>
      <c r="F51" s="23" t="s">
        <v>28</v>
      </c>
      <c r="G51" s="40"/>
      <c r="H51" s="40"/>
      <c r="I51" s="40"/>
      <c r="J51" s="40"/>
      <c r="K51" s="40"/>
      <c r="L51" s="40"/>
      <c r="M51" s="111"/>
      <c r="N51" s="103">
        <v>326.67</v>
      </c>
      <c r="O51" s="61">
        <f>N51*D51</f>
        <v>23846.91</v>
      </c>
    </row>
    <row r="52" spans="1:16" x14ac:dyDescent="0.3">
      <c r="A52" s="33"/>
      <c r="B52" s="65"/>
      <c r="C52" s="66"/>
      <c r="D52" s="64"/>
      <c r="E52" s="67"/>
      <c r="F52" s="23"/>
      <c r="G52" s="40"/>
      <c r="H52" s="40"/>
      <c r="I52" s="40"/>
      <c r="J52" s="40"/>
      <c r="K52" s="40"/>
      <c r="L52" s="40"/>
      <c r="M52" s="111"/>
      <c r="N52" s="103"/>
      <c r="O52" s="61"/>
    </row>
    <row r="53" spans="1:16" x14ac:dyDescent="0.3">
      <c r="A53" s="33"/>
      <c r="B53" s="65">
        <v>601</v>
      </c>
      <c r="C53" s="125" t="s">
        <v>240</v>
      </c>
      <c r="D53" s="59">
        <f>D397</f>
        <v>119</v>
      </c>
      <c r="E53" s="67" t="s">
        <v>24</v>
      </c>
      <c r="F53" s="124" t="s">
        <v>241</v>
      </c>
      <c r="G53" s="40"/>
      <c r="H53" s="40"/>
      <c r="I53" s="40"/>
      <c r="J53" s="40"/>
      <c r="K53" s="40"/>
      <c r="L53" s="40"/>
      <c r="M53" s="111"/>
      <c r="N53" s="103">
        <v>139.34</v>
      </c>
      <c r="O53" s="61">
        <f>N53*D53</f>
        <v>16581.46</v>
      </c>
    </row>
    <row r="54" spans="1:16" x14ac:dyDescent="0.3">
      <c r="A54" s="33"/>
      <c r="B54" s="65"/>
      <c r="C54" s="66"/>
      <c r="D54" s="59"/>
      <c r="E54" s="67"/>
      <c r="F54" s="23"/>
      <c r="G54" s="40"/>
      <c r="H54" s="40"/>
      <c r="I54" s="40"/>
      <c r="J54" s="40"/>
      <c r="K54" s="40"/>
      <c r="L54" s="40"/>
      <c r="M54" s="111"/>
      <c r="N54" s="103"/>
      <c r="O54" s="61"/>
    </row>
    <row r="55" spans="1:16" x14ac:dyDescent="0.3">
      <c r="A55" s="33"/>
      <c r="B55" s="65">
        <v>846</v>
      </c>
      <c r="C55" s="66" t="s">
        <v>29</v>
      </c>
      <c r="D55" s="64">
        <f>D406</f>
        <v>30</v>
      </c>
      <c r="E55" s="67" t="s">
        <v>30</v>
      </c>
      <c r="F55" s="68" t="s">
        <v>31</v>
      </c>
      <c r="G55" s="40"/>
      <c r="H55" s="40"/>
      <c r="I55" s="40"/>
      <c r="J55" s="40"/>
      <c r="K55" s="40"/>
      <c r="L55" s="40"/>
      <c r="M55" s="113"/>
      <c r="N55" s="106">
        <v>565.65</v>
      </c>
      <c r="O55" s="61">
        <f>N55*D55</f>
        <v>16969.5</v>
      </c>
    </row>
    <row r="56" spans="1:16" ht="15" thickBot="1" x14ac:dyDescent="0.35">
      <c r="A56" s="33"/>
      <c r="B56" s="69"/>
      <c r="C56" s="70"/>
      <c r="D56" s="71"/>
      <c r="E56" s="72"/>
      <c r="F56" s="73"/>
      <c r="G56" s="74"/>
      <c r="H56" s="74"/>
      <c r="I56" s="74"/>
      <c r="J56" s="74"/>
      <c r="K56" s="74"/>
      <c r="L56" s="74"/>
      <c r="M56" s="114"/>
      <c r="N56" s="107"/>
      <c r="O56" s="75"/>
    </row>
    <row r="57" spans="1:16" ht="15" hidden="1" thickBot="1" x14ac:dyDescent="0.35">
      <c r="B57" s="19" t="s">
        <v>32</v>
      </c>
      <c r="C57" s="76"/>
      <c r="D57" s="77"/>
      <c r="E57" s="76"/>
      <c r="F57" s="76"/>
      <c r="G57" s="76"/>
      <c r="H57" s="76"/>
      <c r="I57" s="76"/>
      <c r="J57" s="76"/>
      <c r="K57" s="76"/>
      <c r="L57" s="76"/>
      <c r="M57" s="115"/>
      <c r="N57" s="76"/>
      <c r="O57" s="18">
        <f>SUM(O15:O56)</f>
        <v>1849485.1690954028</v>
      </c>
      <c r="P57" s="5"/>
    </row>
    <row r="58" spans="1:16" x14ac:dyDescent="0.3">
      <c r="B58" s="78"/>
      <c r="C58" s="78"/>
      <c r="E58" s="78"/>
      <c r="F58" s="78"/>
      <c r="G58" s="78"/>
      <c r="H58" s="78"/>
      <c r="I58" s="78"/>
      <c r="J58" s="78"/>
      <c r="K58" s="78"/>
      <c r="L58" s="78"/>
      <c r="M58" s="78"/>
      <c r="N58" s="79"/>
      <c r="O58" s="78"/>
    </row>
    <row r="59" spans="1:16" x14ac:dyDescent="0.3">
      <c r="B59" s="16" t="s">
        <v>88</v>
      </c>
      <c r="C59" s="78"/>
      <c r="E59" s="78"/>
      <c r="F59" s="78"/>
      <c r="G59" s="78"/>
      <c r="H59" s="78"/>
      <c r="I59" s="78"/>
      <c r="J59" s="78"/>
      <c r="K59" s="78"/>
      <c r="L59" s="78"/>
      <c r="M59" s="78"/>
      <c r="N59" s="79"/>
      <c r="O59" s="78"/>
    </row>
    <row r="60" spans="1:16" x14ac:dyDescent="0.3">
      <c r="B60" s="78"/>
      <c r="C60" s="78"/>
      <c r="D60" s="80">
        <v>77.33</v>
      </c>
      <c r="E60" s="28" t="s">
        <v>34</v>
      </c>
      <c r="F60" s="28" t="s">
        <v>35</v>
      </c>
      <c r="G60" s="78"/>
      <c r="H60" s="78"/>
      <c r="I60" s="78"/>
      <c r="J60" s="78"/>
      <c r="K60" s="78"/>
      <c r="L60" s="78"/>
      <c r="M60" s="78"/>
      <c r="N60" s="79"/>
      <c r="O60" s="78"/>
    </row>
    <row r="61" spans="1:16" x14ac:dyDescent="0.3">
      <c r="B61" s="78"/>
      <c r="C61" s="78"/>
      <c r="D61" s="100">
        <v>36.125</v>
      </c>
      <c r="E61" s="28" t="s">
        <v>34</v>
      </c>
      <c r="F61" s="28" t="s">
        <v>36</v>
      </c>
      <c r="G61" s="78"/>
      <c r="H61" s="78"/>
      <c r="I61" s="78"/>
      <c r="J61" s="78"/>
      <c r="K61" s="78"/>
      <c r="L61" s="78"/>
      <c r="M61" s="78"/>
      <c r="N61" s="79"/>
      <c r="O61" s="78"/>
    </row>
    <row r="62" spans="1:16" x14ac:dyDescent="0.3">
      <c r="B62" s="78"/>
      <c r="C62" s="78"/>
      <c r="D62" s="80">
        <v>36.125</v>
      </c>
      <c r="E62" s="28" t="s">
        <v>34</v>
      </c>
      <c r="F62" s="28" t="s">
        <v>89</v>
      </c>
      <c r="G62" s="78"/>
      <c r="H62" s="78"/>
      <c r="I62" s="78"/>
      <c r="J62" s="78"/>
      <c r="K62" s="78"/>
      <c r="L62" s="78"/>
      <c r="M62" s="78"/>
      <c r="N62" s="79"/>
      <c r="O62" s="78"/>
    </row>
    <row r="63" spans="1:16" x14ac:dyDescent="0.3">
      <c r="B63" s="78"/>
      <c r="C63" s="78"/>
      <c r="D63" s="80">
        <v>0</v>
      </c>
      <c r="E63" s="28" t="s">
        <v>106</v>
      </c>
      <c r="F63" s="28" t="s">
        <v>74</v>
      </c>
      <c r="G63" s="78"/>
      <c r="H63" s="78"/>
      <c r="I63" s="78"/>
      <c r="J63" s="78"/>
      <c r="K63" s="78"/>
      <c r="L63" s="78"/>
      <c r="M63" s="78"/>
      <c r="N63" s="79"/>
      <c r="O63" s="78"/>
    </row>
    <row r="64" spans="1:16" x14ac:dyDescent="0.3">
      <c r="B64" s="78"/>
      <c r="C64" s="78"/>
      <c r="D64" s="101"/>
      <c r="E64" s="99"/>
      <c r="F64" s="99"/>
      <c r="G64" s="78"/>
      <c r="H64" s="78"/>
      <c r="I64" s="78"/>
      <c r="J64" s="78"/>
      <c r="K64" s="78"/>
      <c r="L64" s="78"/>
      <c r="M64" s="78"/>
      <c r="N64" s="79"/>
      <c r="O64" s="78"/>
    </row>
    <row r="65" spans="2:18" x14ac:dyDescent="0.3">
      <c r="B65" s="78"/>
      <c r="C65" s="78"/>
      <c r="D65" s="80">
        <v>7.5</v>
      </c>
      <c r="E65" s="28" t="s">
        <v>34</v>
      </c>
      <c r="F65" s="28" t="s">
        <v>93</v>
      </c>
      <c r="G65" s="78"/>
      <c r="H65" s="78"/>
      <c r="I65" s="78"/>
      <c r="J65" s="78"/>
      <c r="K65" s="78"/>
      <c r="L65" s="78"/>
      <c r="M65" s="78"/>
      <c r="N65" s="79"/>
      <c r="O65" s="78"/>
      <c r="R65" s="81"/>
    </row>
    <row r="66" spans="2:18" x14ac:dyDescent="0.3">
      <c r="B66" s="78"/>
      <c r="C66" s="78"/>
      <c r="D66" s="80">
        <v>8.5</v>
      </c>
      <c r="E66" s="28" t="s">
        <v>34</v>
      </c>
      <c r="F66" s="28" t="s">
        <v>93</v>
      </c>
      <c r="G66" s="78"/>
      <c r="H66" s="78"/>
      <c r="I66" s="78"/>
      <c r="J66" s="78"/>
      <c r="K66" s="78"/>
      <c r="L66" s="78"/>
      <c r="M66" s="78"/>
      <c r="N66" s="79"/>
      <c r="O66" s="78"/>
      <c r="R66" s="81"/>
    </row>
    <row r="67" spans="2:18" x14ac:dyDescent="0.3">
      <c r="B67" s="78"/>
      <c r="C67" s="78"/>
      <c r="D67" s="80">
        <v>5</v>
      </c>
      <c r="E67" s="28" t="s">
        <v>37</v>
      </c>
      <c r="F67" s="28" t="s">
        <v>96</v>
      </c>
      <c r="G67" s="78"/>
      <c r="H67" s="78"/>
      <c r="I67" s="78"/>
      <c r="J67" s="78"/>
      <c r="K67" s="78"/>
      <c r="L67" s="78"/>
      <c r="M67" s="78"/>
      <c r="N67" s="79"/>
      <c r="O67" s="78"/>
      <c r="R67" s="81"/>
    </row>
    <row r="68" spans="2:18" x14ac:dyDescent="0.3">
      <c r="B68" s="78"/>
      <c r="C68" s="78"/>
      <c r="D68" s="80">
        <v>2</v>
      </c>
      <c r="E68" s="28" t="s">
        <v>34</v>
      </c>
      <c r="F68" s="28" t="s">
        <v>95</v>
      </c>
      <c r="G68" s="78"/>
      <c r="H68" s="78"/>
      <c r="I68" s="78"/>
      <c r="J68" s="78"/>
      <c r="K68" s="78"/>
      <c r="L68" s="78"/>
      <c r="M68" s="78"/>
      <c r="N68" s="79"/>
      <c r="O68" s="78"/>
      <c r="R68" s="81"/>
    </row>
    <row r="69" spans="2:18" x14ac:dyDescent="0.3">
      <c r="B69" s="78"/>
      <c r="C69" s="78"/>
      <c r="D69" s="82">
        <f>D62-D68-2*D65-2*D66</f>
        <v>2.125</v>
      </c>
      <c r="E69" s="28" t="s">
        <v>34</v>
      </c>
      <c r="F69" s="28" t="s">
        <v>95</v>
      </c>
      <c r="G69" s="78"/>
      <c r="H69" s="78"/>
      <c r="I69" s="78"/>
      <c r="J69" s="78"/>
      <c r="K69" s="78"/>
      <c r="L69" s="78"/>
      <c r="M69" s="78"/>
      <c r="N69" s="79"/>
      <c r="O69" s="78"/>
      <c r="R69" s="81"/>
    </row>
    <row r="70" spans="2:18" x14ac:dyDescent="0.3">
      <c r="B70" s="78"/>
      <c r="C70" s="78"/>
      <c r="D70" s="80">
        <v>8.5</v>
      </c>
      <c r="E70" s="28" t="s">
        <v>39</v>
      </c>
      <c r="F70" s="28" t="s">
        <v>45</v>
      </c>
      <c r="G70" s="78"/>
      <c r="H70" s="78"/>
      <c r="I70" s="78"/>
      <c r="J70" s="78"/>
      <c r="K70" s="78"/>
      <c r="L70" s="78"/>
      <c r="M70" s="78"/>
      <c r="N70" s="79"/>
      <c r="O70" s="78"/>
      <c r="R70" s="81"/>
    </row>
    <row r="71" spans="2:18" x14ac:dyDescent="0.3">
      <c r="B71" s="78"/>
      <c r="C71" s="78"/>
      <c r="D71" s="80">
        <v>20</v>
      </c>
      <c r="E71" s="28" t="s">
        <v>39</v>
      </c>
      <c r="F71" s="28" t="s">
        <v>102</v>
      </c>
      <c r="G71" s="78"/>
      <c r="H71" s="78"/>
      <c r="I71" s="78"/>
      <c r="J71" s="78"/>
      <c r="K71" s="78"/>
      <c r="L71" s="78"/>
      <c r="M71" s="78"/>
      <c r="N71" s="79"/>
      <c r="O71" s="78"/>
      <c r="R71" s="81"/>
    </row>
    <row r="72" spans="2:18" x14ac:dyDescent="0.3">
      <c r="B72" s="78"/>
      <c r="C72" s="78"/>
      <c r="E72" s="78"/>
      <c r="F72" s="78"/>
      <c r="G72" s="78"/>
      <c r="H72" s="78"/>
      <c r="I72" s="78"/>
      <c r="J72" s="78"/>
      <c r="K72" s="78"/>
      <c r="L72" s="78"/>
      <c r="M72" s="78"/>
      <c r="N72" s="79"/>
      <c r="O72" s="78"/>
      <c r="R72" s="81"/>
    </row>
    <row r="73" spans="2:18" x14ac:dyDescent="0.3">
      <c r="B73" s="78"/>
      <c r="C73" s="78"/>
      <c r="D73" s="80">
        <v>14</v>
      </c>
      <c r="E73" s="28" t="s">
        <v>39</v>
      </c>
      <c r="F73" s="28" t="s">
        <v>201</v>
      </c>
      <c r="G73" s="78"/>
      <c r="H73" s="78"/>
      <c r="I73" s="78"/>
      <c r="J73" s="78"/>
      <c r="K73" s="78"/>
      <c r="L73" s="78"/>
      <c r="M73" s="78"/>
      <c r="N73" s="79"/>
      <c r="O73" s="78"/>
    </row>
    <row r="74" spans="2:18" x14ac:dyDescent="0.3">
      <c r="B74" s="78"/>
      <c r="C74" s="78"/>
      <c r="D74" s="80">
        <v>45</v>
      </c>
      <c r="E74" s="28" t="s">
        <v>39</v>
      </c>
      <c r="F74" s="28" t="s">
        <v>90</v>
      </c>
      <c r="G74" s="78"/>
      <c r="H74" s="78"/>
      <c r="I74" s="78"/>
      <c r="J74" s="78"/>
      <c r="K74" s="78"/>
      <c r="L74" s="78"/>
      <c r="M74" s="78"/>
      <c r="N74" s="79"/>
      <c r="O74" s="78"/>
    </row>
    <row r="75" spans="2:18" x14ac:dyDescent="0.3">
      <c r="B75" s="78"/>
      <c r="C75" s="78"/>
      <c r="D75" s="80">
        <v>2</v>
      </c>
      <c r="E75" s="28" t="s">
        <v>39</v>
      </c>
      <c r="F75" s="28" t="s">
        <v>91</v>
      </c>
      <c r="G75" s="78"/>
      <c r="H75" s="78"/>
      <c r="I75" s="78"/>
      <c r="J75" s="78"/>
      <c r="K75" s="78"/>
      <c r="L75" s="78"/>
      <c r="M75" s="78"/>
      <c r="N75" s="79"/>
      <c r="O75" s="78"/>
    </row>
    <row r="76" spans="2:18" x14ac:dyDescent="0.3">
      <c r="B76" s="78"/>
      <c r="C76" s="78"/>
      <c r="D76" s="82">
        <f>(D70+D73+D74+D75)/12</f>
        <v>5.791666666666667</v>
      </c>
      <c r="E76" s="28" t="s">
        <v>34</v>
      </c>
      <c r="F76" s="28" t="s">
        <v>92</v>
      </c>
      <c r="G76" s="78"/>
      <c r="H76" s="78"/>
      <c r="I76" s="78"/>
      <c r="J76" s="78"/>
      <c r="K76" s="78"/>
      <c r="L76" s="78"/>
      <c r="M76" s="78"/>
      <c r="N76" s="79"/>
      <c r="O76" s="78"/>
    </row>
    <row r="77" spans="2:18" x14ac:dyDescent="0.3">
      <c r="B77" s="78"/>
      <c r="C77" s="78"/>
      <c r="D77" s="80">
        <v>0</v>
      </c>
      <c r="E77" s="28" t="s">
        <v>34</v>
      </c>
      <c r="F77" s="28" t="s">
        <v>97</v>
      </c>
      <c r="G77" s="78"/>
      <c r="H77" s="78"/>
      <c r="I77" s="78"/>
      <c r="J77" s="78"/>
      <c r="K77" s="78"/>
      <c r="L77" s="78"/>
      <c r="M77" s="78"/>
      <c r="N77" s="79"/>
      <c r="O77" s="78"/>
    </row>
    <row r="78" spans="2:18" x14ac:dyDescent="0.3">
      <c r="B78" s="78"/>
      <c r="C78" s="78"/>
      <c r="D78" s="82" t="s">
        <v>200</v>
      </c>
      <c r="E78" s="28" t="s">
        <v>34</v>
      </c>
      <c r="F78" s="28" t="s">
        <v>94</v>
      </c>
      <c r="G78" s="78"/>
      <c r="H78" s="78"/>
      <c r="I78" s="83"/>
      <c r="J78" s="78"/>
      <c r="K78" s="78"/>
      <c r="L78" s="78"/>
      <c r="M78" s="78"/>
      <c r="N78" s="79"/>
      <c r="O78" s="78"/>
    </row>
    <row r="79" spans="2:18" x14ac:dyDescent="0.3">
      <c r="B79" s="78"/>
      <c r="C79" s="78"/>
      <c r="D79" s="82">
        <v>44.29</v>
      </c>
      <c r="E79" s="28" t="s">
        <v>34</v>
      </c>
      <c r="F79" s="28" t="s">
        <v>197</v>
      </c>
      <c r="G79" s="78"/>
      <c r="H79" s="78"/>
      <c r="I79" s="78"/>
      <c r="J79" s="78"/>
      <c r="K79" s="78"/>
      <c r="L79" s="78"/>
      <c r="M79" s="78"/>
      <c r="N79" s="79"/>
      <c r="O79" s="78"/>
    </row>
    <row r="80" spans="2:18" x14ac:dyDescent="0.3">
      <c r="B80" s="78"/>
      <c r="C80" s="78"/>
      <c r="D80" s="82"/>
      <c r="G80" s="78"/>
      <c r="H80" s="78"/>
      <c r="I80" s="78"/>
      <c r="J80" s="78"/>
      <c r="K80" s="78"/>
      <c r="L80" s="78"/>
      <c r="M80" s="78"/>
      <c r="N80" s="79"/>
      <c r="O80" s="78"/>
    </row>
    <row r="81" spans="2:15" x14ac:dyDescent="0.3">
      <c r="B81" s="78"/>
      <c r="C81" s="78"/>
      <c r="D81" s="82"/>
      <c r="G81" s="78"/>
      <c r="H81" s="78"/>
      <c r="I81" s="78"/>
      <c r="J81" s="78"/>
      <c r="K81" s="78"/>
      <c r="L81" s="78"/>
      <c r="M81" s="78"/>
      <c r="N81" s="79"/>
      <c r="O81" s="78"/>
    </row>
    <row r="82" spans="2:15" x14ac:dyDescent="0.3">
      <c r="B82" s="78"/>
      <c r="C82" s="78"/>
      <c r="D82" s="80">
        <v>20</v>
      </c>
      <c r="E82" s="28" t="s">
        <v>34</v>
      </c>
      <c r="F82" s="28" t="s">
        <v>64</v>
      </c>
      <c r="G82" s="78"/>
      <c r="H82" s="78"/>
      <c r="I82" s="78"/>
      <c r="J82" s="78"/>
      <c r="K82" s="78"/>
      <c r="L82" s="78"/>
      <c r="M82" s="78"/>
      <c r="N82" s="79"/>
      <c r="O82" s="78"/>
    </row>
    <row r="83" spans="2:15" x14ac:dyDescent="0.3">
      <c r="B83" s="78"/>
      <c r="C83" s="78"/>
      <c r="D83" s="82"/>
      <c r="G83" s="78"/>
      <c r="H83" s="78"/>
      <c r="I83" s="78"/>
      <c r="J83" s="78"/>
      <c r="K83" s="78"/>
      <c r="L83" s="78"/>
      <c r="M83" s="78"/>
      <c r="N83" s="79"/>
      <c r="O83" s="78"/>
    </row>
    <row r="84" spans="2:15" x14ac:dyDescent="0.3">
      <c r="B84" s="78"/>
      <c r="C84" s="78"/>
      <c r="E84" s="78"/>
      <c r="F84" s="78"/>
      <c r="G84" s="78"/>
      <c r="H84" s="78"/>
      <c r="I84" s="78"/>
      <c r="J84" s="78"/>
      <c r="K84" s="78"/>
      <c r="L84" s="78"/>
      <c r="M84" s="78"/>
      <c r="N84" s="79"/>
      <c r="O84" s="78"/>
    </row>
    <row r="85" spans="2:15" x14ac:dyDescent="0.3">
      <c r="B85" s="6">
        <f>B16</f>
        <v>202</v>
      </c>
      <c r="C85" s="6">
        <f>C16</f>
        <v>22900</v>
      </c>
      <c r="D85" s="8">
        <f>ROUNDUP(D91,0)</f>
        <v>212</v>
      </c>
      <c r="E85" s="6" t="str">
        <f>E16</f>
        <v>SY</v>
      </c>
      <c r="F85" s="22" t="str">
        <f>F16</f>
        <v>APPROACH SLAB REMOVED</v>
      </c>
      <c r="G85" s="84"/>
      <c r="H85" s="84"/>
      <c r="I85" s="84"/>
      <c r="J85" s="84"/>
      <c r="K85" s="84"/>
      <c r="L85" s="84"/>
      <c r="M85" s="84"/>
      <c r="N85" s="85"/>
      <c r="O85" s="84"/>
    </row>
    <row r="86" spans="2:15" x14ac:dyDescent="0.3">
      <c r="B86" s="78"/>
      <c r="C86" s="78"/>
      <c r="D86" s="80">
        <v>25</v>
      </c>
      <c r="E86" s="28" t="s">
        <v>34</v>
      </c>
      <c r="F86" s="28" t="s">
        <v>147</v>
      </c>
      <c r="G86" s="78"/>
      <c r="H86" s="78"/>
      <c r="I86" s="78"/>
      <c r="J86" s="78"/>
      <c r="K86" s="78"/>
      <c r="L86" s="78"/>
      <c r="M86" s="78"/>
      <c r="N86" s="79"/>
      <c r="O86" s="78"/>
    </row>
    <row r="87" spans="2:15" x14ac:dyDescent="0.3">
      <c r="B87" s="78"/>
      <c r="C87" s="78"/>
      <c r="D87" s="80">
        <v>38</v>
      </c>
      <c r="E87" s="28" t="s">
        <v>34</v>
      </c>
      <c r="F87" s="28" t="s">
        <v>148</v>
      </c>
      <c r="G87" s="78"/>
      <c r="H87" s="78"/>
      <c r="I87" s="78"/>
      <c r="J87" s="78"/>
      <c r="K87" s="78"/>
      <c r="L87" s="78"/>
      <c r="M87" s="78"/>
      <c r="N87" s="79"/>
      <c r="O87" s="78"/>
    </row>
    <row r="88" spans="2:15" x14ac:dyDescent="0.3">
      <c r="B88" s="78"/>
      <c r="C88" s="78"/>
      <c r="D88" s="80">
        <v>2</v>
      </c>
      <c r="E88" s="28" t="s">
        <v>37</v>
      </c>
      <c r="F88" s="28" t="s">
        <v>71</v>
      </c>
      <c r="G88" s="78"/>
      <c r="H88" s="78"/>
      <c r="I88" s="78"/>
      <c r="J88" s="78"/>
      <c r="K88" s="78"/>
      <c r="L88" s="78"/>
      <c r="M88" s="78"/>
      <c r="N88" s="79"/>
      <c r="O88" s="78"/>
    </row>
    <row r="89" spans="2:15" x14ac:dyDescent="0.3">
      <c r="B89" s="78"/>
      <c r="C89" s="78"/>
      <c r="D89" s="82"/>
      <c r="G89" s="78"/>
      <c r="H89" s="78"/>
      <c r="I89" s="78"/>
      <c r="J89" s="78"/>
      <c r="K89" s="78"/>
      <c r="L89" s="78"/>
      <c r="M89" s="78"/>
      <c r="N89" s="79"/>
      <c r="O89" s="78"/>
    </row>
    <row r="90" spans="2:15" x14ac:dyDescent="0.3">
      <c r="B90" s="78"/>
      <c r="C90" s="78"/>
      <c r="D90" s="82">
        <f>D86*D87*D88</f>
        <v>1900</v>
      </c>
      <c r="E90" s="28" t="s">
        <v>66</v>
      </c>
      <c r="F90" s="28" t="s">
        <v>127</v>
      </c>
      <c r="G90" s="78"/>
      <c r="H90" s="78"/>
      <c r="I90" s="78"/>
      <c r="J90" s="78"/>
      <c r="K90" s="78"/>
      <c r="L90" s="78"/>
      <c r="M90" s="78"/>
      <c r="N90" s="79"/>
      <c r="O90" s="78"/>
    </row>
    <row r="91" spans="2:15" x14ac:dyDescent="0.3">
      <c r="B91" s="78"/>
      <c r="C91" s="78"/>
      <c r="D91" s="9">
        <f>D90/9</f>
        <v>211.11111111111111</v>
      </c>
      <c r="E91" s="10" t="s">
        <v>69</v>
      </c>
      <c r="F91" s="10" t="s">
        <v>44</v>
      </c>
      <c r="G91" s="78"/>
      <c r="H91" s="78"/>
      <c r="I91" s="78"/>
      <c r="J91" s="78"/>
      <c r="K91" s="78"/>
      <c r="L91" s="78"/>
      <c r="M91" s="78"/>
      <c r="N91" s="79"/>
      <c r="O91" s="78"/>
    </row>
    <row r="92" spans="2:15" x14ac:dyDescent="0.3">
      <c r="B92" s="78"/>
      <c r="C92" s="78"/>
      <c r="D92" s="9"/>
      <c r="E92" s="10"/>
      <c r="F92" s="10"/>
      <c r="G92" s="78"/>
      <c r="H92" s="78"/>
      <c r="I92" s="78"/>
      <c r="J92" s="78"/>
      <c r="K92" s="78"/>
      <c r="L92" s="78"/>
      <c r="M92" s="78"/>
      <c r="N92" s="79"/>
      <c r="O92" s="78"/>
    </row>
    <row r="93" spans="2:15" x14ac:dyDescent="0.3">
      <c r="B93" s="6">
        <f>B18</f>
        <v>203</v>
      </c>
      <c r="C93" s="6">
        <f>C18</f>
        <v>10000</v>
      </c>
      <c r="D93" s="8">
        <f>ROUNDUP(D120,0)</f>
        <v>160</v>
      </c>
      <c r="E93" s="6" t="str">
        <f>E18</f>
        <v>CY</v>
      </c>
      <c r="F93" s="22" t="str">
        <f>F18</f>
        <v>EXCAVATION</v>
      </c>
      <c r="G93" s="84"/>
      <c r="H93" s="84"/>
      <c r="I93" s="84"/>
      <c r="J93" s="84"/>
      <c r="K93" s="84"/>
      <c r="L93" s="84"/>
      <c r="M93" s="84"/>
      <c r="N93" s="85"/>
      <c r="O93" s="84"/>
    </row>
    <row r="94" spans="2:15" x14ac:dyDescent="0.3">
      <c r="B94" s="78"/>
      <c r="C94" s="78" t="s">
        <v>171</v>
      </c>
      <c r="D94" s="80">
        <v>1.91</v>
      </c>
      <c r="E94" s="28" t="s">
        <v>170</v>
      </c>
      <c r="F94" s="28" t="s">
        <v>178</v>
      </c>
      <c r="G94" s="78"/>
      <c r="H94" s="78"/>
      <c r="I94" s="78"/>
      <c r="J94" s="78"/>
      <c r="K94" s="78"/>
      <c r="L94" s="78"/>
      <c r="M94" s="78"/>
      <c r="N94" s="79"/>
      <c r="O94" s="78"/>
    </row>
    <row r="95" spans="2:15" x14ac:dyDescent="0.3">
      <c r="B95" s="78"/>
      <c r="C95" s="78"/>
      <c r="D95" s="80">
        <v>0</v>
      </c>
      <c r="E95" s="28" t="s">
        <v>170</v>
      </c>
      <c r="F95" s="28" t="s">
        <v>179</v>
      </c>
      <c r="G95" s="78"/>
      <c r="H95" s="78"/>
      <c r="I95" s="78"/>
      <c r="J95" s="78"/>
      <c r="K95" s="78"/>
      <c r="L95" s="78"/>
      <c r="M95" s="78"/>
      <c r="N95" s="79"/>
      <c r="O95" s="78"/>
    </row>
    <row r="96" spans="2:15" x14ac:dyDescent="0.3">
      <c r="B96" s="78"/>
      <c r="C96" s="78"/>
      <c r="D96" s="80">
        <v>48</v>
      </c>
      <c r="E96" s="28" t="s">
        <v>34</v>
      </c>
      <c r="F96" s="28" t="s">
        <v>180</v>
      </c>
      <c r="G96" s="78"/>
      <c r="H96" s="78"/>
      <c r="I96" s="78"/>
      <c r="J96" s="78"/>
      <c r="K96" s="78"/>
      <c r="L96" s="78"/>
      <c r="M96" s="78"/>
      <c r="N96" s="79"/>
      <c r="O96" s="78"/>
    </row>
    <row r="97" spans="2:15" x14ac:dyDescent="0.3">
      <c r="B97" s="78"/>
      <c r="C97" s="78"/>
      <c r="D97" s="82">
        <f>(D94+D95)*D96</f>
        <v>91.679999999999993</v>
      </c>
      <c r="E97" s="28" t="s">
        <v>176</v>
      </c>
      <c r="F97" s="28" t="s">
        <v>76</v>
      </c>
      <c r="G97" s="78"/>
      <c r="H97" s="78"/>
      <c r="I97" s="78"/>
      <c r="J97" s="78"/>
      <c r="K97" s="78"/>
      <c r="L97" s="78"/>
      <c r="M97" s="78"/>
      <c r="N97" s="79"/>
      <c r="O97" s="78"/>
    </row>
    <row r="98" spans="2:15" x14ac:dyDescent="0.3">
      <c r="B98" s="78"/>
      <c r="C98" s="78"/>
      <c r="D98" s="28"/>
      <c r="G98" s="78"/>
      <c r="H98" s="78"/>
      <c r="I98" s="78"/>
      <c r="J98" s="78"/>
      <c r="K98" s="78"/>
      <c r="L98" s="78"/>
      <c r="M98" s="78"/>
      <c r="N98" s="79"/>
      <c r="O98" s="78"/>
    </row>
    <row r="99" spans="2:15" x14ac:dyDescent="0.3">
      <c r="B99" s="78"/>
      <c r="C99" s="78" t="s">
        <v>173</v>
      </c>
      <c r="D99" s="80">
        <v>2.8729</v>
      </c>
      <c r="E99" s="28" t="s">
        <v>170</v>
      </c>
      <c r="F99" s="131" t="s">
        <v>262</v>
      </c>
      <c r="G99" s="78"/>
      <c r="H99" s="78"/>
      <c r="I99" s="78"/>
      <c r="J99" s="78"/>
      <c r="K99" s="78"/>
      <c r="L99" s="78"/>
      <c r="M99" s="78"/>
      <c r="N99" s="79"/>
      <c r="O99" s="78"/>
    </row>
    <row r="100" spans="2:15" x14ac:dyDescent="0.3">
      <c r="B100" s="78"/>
      <c r="C100" s="78"/>
      <c r="D100" s="80">
        <f>72.606</f>
        <v>72.605999999999995</v>
      </c>
      <c r="F100" s="131" t="s">
        <v>261</v>
      </c>
      <c r="G100" s="78"/>
      <c r="H100" s="78"/>
      <c r="I100" s="78"/>
      <c r="J100" s="78"/>
      <c r="K100" s="78"/>
      <c r="L100" s="78"/>
      <c r="M100" s="78"/>
      <c r="N100" s="79"/>
      <c r="O100" s="78"/>
    </row>
    <row r="101" spans="2:15" x14ac:dyDescent="0.3">
      <c r="B101" s="78"/>
      <c r="C101" s="78"/>
      <c r="D101" s="80">
        <f>D79</f>
        <v>44.29</v>
      </c>
      <c r="F101" s="131" t="s">
        <v>264</v>
      </c>
      <c r="G101" s="78"/>
      <c r="H101" s="78"/>
      <c r="I101" s="78"/>
      <c r="J101" s="78"/>
      <c r="K101" s="78"/>
      <c r="L101" s="78"/>
      <c r="M101" s="78"/>
      <c r="N101" s="79"/>
      <c r="O101" s="78"/>
    </row>
    <row r="102" spans="2:15" x14ac:dyDescent="0.3">
      <c r="B102" s="78"/>
      <c r="C102" s="78"/>
      <c r="D102" s="80">
        <v>27</v>
      </c>
      <c r="E102" s="28" t="s">
        <v>34</v>
      </c>
      <c r="F102" s="28" t="s">
        <v>181</v>
      </c>
      <c r="G102" s="78"/>
      <c r="H102" s="78"/>
      <c r="I102" s="78"/>
      <c r="J102" s="78"/>
      <c r="K102" s="78"/>
      <c r="L102" s="78"/>
      <c r="M102" s="78"/>
      <c r="N102" s="79"/>
      <c r="O102" s="78"/>
    </row>
    <row r="103" spans="2:15" x14ac:dyDescent="0.3">
      <c r="B103" s="78"/>
      <c r="C103" s="78"/>
      <c r="D103" s="82">
        <f>(D99*D101)+(D100*D102)</f>
        <v>2087.6027409999997</v>
      </c>
      <c r="E103" s="28" t="s">
        <v>176</v>
      </c>
      <c r="F103" s="28" t="s">
        <v>76</v>
      </c>
      <c r="G103" s="78"/>
      <c r="H103" s="78"/>
      <c r="I103" s="78"/>
      <c r="J103" s="78"/>
      <c r="K103" s="78"/>
      <c r="L103" s="78"/>
      <c r="M103" s="78"/>
      <c r="N103" s="79"/>
      <c r="O103" s="78"/>
    </row>
    <row r="104" spans="2:15" x14ac:dyDescent="0.3">
      <c r="B104" s="78"/>
      <c r="C104" s="78"/>
      <c r="D104" s="9"/>
      <c r="E104" s="10"/>
      <c r="G104" s="78"/>
      <c r="H104" s="78"/>
      <c r="I104" s="78"/>
      <c r="J104" s="78"/>
      <c r="K104" s="78"/>
      <c r="L104" s="78"/>
      <c r="M104" s="78"/>
      <c r="N104" s="79"/>
      <c r="O104" s="78"/>
    </row>
    <row r="105" spans="2:15" x14ac:dyDescent="0.3">
      <c r="B105" s="78"/>
      <c r="C105" s="78" t="s">
        <v>172</v>
      </c>
      <c r="D105" s="80">
        <v>3.1194000000000002</v>
      </c>
      <c r="E105" s="28" t="s">
        <v>170</v>
      </c>
      <c r="F105" s="28" t="s">
        <v>178</v>
      </c>
      <c r="G105" s="78"/>
      <c r="H105" s="78"/>
      <c r="I105" s="78"/>
      <c r="J105" s="78"/>
      <c r="K105" s="78"/>
      <c r="L105" s="78"/>
      <c r="M105" s="78"/>
      <c r="N105" s="79"/>
      <c r="O105" s="78"/>
    </row>
    <row r="106" spans="2:15" x14ac:dyDescent="0.3">
      <c r="B106" s="78"/>
      <c r="C106" s="78"/>
      <c r="D106" s="80">
        <v>0</v>
      </c>
      <c r="E106" s="28" t="s">
        <v>170</v>
      </c>
      <c r="F106" s="28" t="s">
        <v>179</v>
      </c>
      <c r="G106" s="78"/>
      <c r="H106" s="78"/>
      <c r="I106" s="78"/>
      <c r="J106" s="78"/>
      <c r="K106" s="78"/>
      <c r="L106" s="78"/>
      <c r="M106" s="78"/>
      <c r="N106" s="79"/>
      <c r="O106" s="78"/>
    </row>
    <row r="107" spans="2:15" x14ac:dyDescent="0.3">
      <c r="B107" s="78"/>
      <c r="C107" s="78"/>
      <c r="D107" s="80">
        <v>48</v>
      </c>
      <c r="E107" s="28" t="s">
        <v>34</v>
      </c>
      <c r="F107" s="28" t="s">
        <v>180</v>
      </c>
      <c r="G107" s="78"/>
      <c r="H107" s="78"/>
      <c r="I107" s="78"/>
      <c r="J107" s="78"/>
      <c r="K107" s="78"/>
      <c r="L107" s="78"/>
      <c r="M107" s="78"/>
      <c r="N107" s="79"/>
      <c r="O107" s="78"/>
    </row>
    <row r="108" spans="2:15" x14ac:dyDescent="0.3">
      <c r="B108" s="78"/>
      <c r="C108" s="78"/>
      <c r="D108" s="82">
        <f>(D105+D106)*D107</f>
        <v>149.7312</v>
      </c>
      <c r="E108" s="28" t="s">
        <v>176</v>
      </c>
      <c r="F108" s="28" t="s">
        <v>76</v>
      </c>
      <c r="G108" s="78"/>
      <c r="H108" s="78"/>
      <c r="I108" s="78"/>
      <c r="J108" s="78"/>
      <c r="K108" s="78"/>
      <c r="L108" s="78"/>
      <c r="M108" s="78"/>
      <c r="N108" s="79"/>
      <c r="O108" s="78"/>
    </row>
    <row r="109" spans="2:15" x14ac:dyDescent="0.3">
      <c r="B109" s="78"/>
      <c r="C109" s="78"/>
      <c r="D109" s="9"/>
      <c r="E109" s="10"/>
      <c r="G109" s="78"/>
      <c r="H109" s="78"/>
      <c r="I109" s="78"/>
      <c r="J109" s="78"/>
      <c r="K109" s="78"/>
      <c r="L109" s="78"/>
      <c r="M109" s="78"/>
      <c r="N109" s="79"/>
      <c r="O109" s="78"/>
    </row>
    <row r="110" spans="2:15" x14ac:dyDescent="0.3">
      <c r="B110" s="78"/>
      <c r="C110" s="78" t="s">
        <v>174</v>
      </c>
      <c r="D110" s="80">
        <v>1.9274</v>
      </c>
      <c r="E110" s="28" t="s">
        <v>170</v>
      </c>
      <c r="F110" s="28" t="s">
        <v>109</v>
      </c>
      <c r="G110" s="78"/>
      <c r="H110" s="78"/>
      <c r="I110" s="78"/>
      <c r="J110" s="78"/>
      <c r="K110" s="78"/>
      <c r="L110" s="78"/>
      <c r="M110" s="78"/>
      <c r="N110" s="79"/>
      <c r="O110" s="78"/>
    </row>
    <row r="111" spans="2:15" x14ac:dyDescent="0.3">
      <c r="B111" s="78"/>
      <c r="C111" s="78"/>
      <c r="D111" s="80">
        <f>62.8084</f>
        <v>62.808399999999999</v>
      </c>
      <c r="F111" s="131" t="s">
        <v>261</v>
      </c>
      <c r="G111" s="78"/>
      <c r="H111" s="78"/>
      <c r="I111" s="78"/>
      <c r="J111" s="78"/>
      <c r="K111" s="78"/>
      <c r="L111" s="78"/>
      <c r="M111" s="78"/>
      <c r="N111" s="79"/>
      <c r="O111" s="78"/>
    </row>
    <row r="112" spans="2:15" x14ac:dyDescent="0.3">
      <c r="B112" s="78"/>
      <c r="C112" s="78"/>
      <c r="D112" s="80">
        <f>D79</f>
        <v>44.29</v>
      </c>
      <c r="F112" s="131" t="s">
        <v>264</v>
      </c>
      <c r="G112" s="78"/>
      <c r="H112" s="78"/>
      <c r="I112" s="78"/>
      <c r="J112" s="78"/>
      <c r="K112" s="78"/>
      <c r="L112" s="78"/>
      <c r="M112" s="78"/>
      <c r="N112" s="79"/>
      <c r="O112" s="78"/>
    </row>
    <row r="113" spans="2:15" x14ac:dyDescent="0.3">
      <c r="B113" s="78"/>
      <c r="C113" s="78"/>
      <c r="D113" s="80">
        <v>27</v>
      </c>
      <c r="E113" s="28" t="s">
        <v>34</v>
      </c>
      <c r="F113" s="28" t="s">
        <v>181</v>
      </c>
      <c r="G113" s="78"/>
      <c r="H113" s="78"/>
      <c r="I113" s="78"/>
      <c r="J113" s="78"/>
      <c r="K113" s="78"/>
      <c r="L113" s="78"/>
      <c r="M113" s="78"/>
      <c r="N113" s="79"/>
      <c r="O113" s="78"/>
    </row>
    <row r="114" spans="2:15" x14ac:dyDescent="0.3">
      <c r="B114" s="78"/>
      <c r="C114" s="78"/>
      <c r="D114" s="82">
        <f>(D110*D112)+(D111*D113)</f>
        <v>1781.1913460000001</v>
      </c>
      <c r="E114" s="28" t="s">
        <v>176</v>
      </c>
      <c r="F114" s="28" t="s">
        <v>76</v>
      </c>
      <c r="G114" s="78"/>
      <c r="H114" s="78"/>
      <c r="I114" s="78"/>
      <c r="J114" s="78"/>
      <c r="K114" s="78"/>
      <c r="L114" s="78"/>
      <c r="M114" s="78"/>
      <c r="N114" s="79"/>
      <c r="O114" s="78"/>
    </row>
    <row r="115" spans="2:15" x14ac:dyDescent="0.3">
      <c r="B115" s="78"/>
      <c r="C115" s="78"/>
      <c r="D115" s="9"/>
      <c r="E115" s="10"/>
      <c r="G115" s="78"/>
      <c r="H115" s="78"/>
      <c r="I115" s="78"/>
      <c r="J115" s="78"/>
      <c r="K115" s="78"/>
      <c r="L115" s="78"/>
      <c r="M115" s="78"/>
      <c r="N115" s="79"/>
      <c r="O115" s="78"/>
    </row>
    <row r="116" spans="2:15" x14ac:dyDescent="0.3">
      <c r="B116" s="78"/>
      <c r="C116" s="78"/>
      <c r="D116" s="82">
        <f>D97+D103+D108+D114</f>
        <v>4110.2052869999998</v>
      </c>
      <c r="E116" s="28" t="s">
        <v>176</v>
      </c>
      <c r="F116" s="28" t="s">
        <v>67</v>
      </c>
      <c r="G116" s="78"/>
      <c r="H116" s="78"/>
      <c r="I116" s="78"/>
      <c r="J116" s="78"/>
      <c r="K116" s="78"/>
      <c r="L116" s="78"/>
      <c r="M116" s="78"/>
      <c r="N116" s="79"/>
      <c r="O116" s="78"/>
    </row>
    <row r="117" spans="2:15" x14ac:dyDescent="0.3">
      <c r="B117" s="78"/>
      <c r="C117" s="78"/>
      <c r="D117" s="82">
        <f>D116*5%</f>
        <v>205.51026435</v>
      </c>
      <c r="E117" s="28" t="s">
        <v>176</v>
      </c>
      <c r="F117" s="86" t="s">
        <v>175</v>
      </c>
      <c r="G117" s="78"/>
      <c r="H117" s="78"/>
      <c r="I117" s="78"/>
      <c r="J117" s="78"/>
      <c r="K117" s="78"/>
      <c r="L117" s="78"/>
      <c r="M117" s="78"/>
      <c r="N117" s="79"/>
      <c r="O117" s="78"/>
    </row>
    <row r="118" spans="2:15" x14ac:dyDescent="0.3">
      <c r="B118" s="78"/>
      <c r="C118" s="78"/>
      <c r="D118" s="82"/>
      <c r="G118" s="78"/>
      <c r="H118" s="78"/>
      <c r="I118" s="78"/>
      <c r="J118" s="78"/>
      <c r="K118" s="78"/>
      <c r="L118" s="78"/>
      <c r="M118" s="78"/>
      <c r="N118" s="79"/>
      <c r="O118" s="78"/>
    </row>
    <row r="119" spans="2:15" x14ac:dyDescent="0.3">
      <c r="B119" s="78"/>
      <c r="C119" s="78"/>
      <c r="D119" s="82">
        <f>D116+D117</f>
        <v>4315.7155513500002</v>
      </c>
      <c r="E119" s="28" t="s">
        <v>41</v>
      </c>
      <c r="F119" s="28" t="s">
        <v>44</v>
      </c>
      <c r="G119" s="78"/>
      <c r="H119" s="78"/>
      <c r="I119" s="78"/>
      <c r="J119" s="78"/>
      <c r="K119" s="78"/>
      <c r="L119" s="78"/>
      <c r="M119" s="78"/>
      <c r="N119" s="79"/>
      <c r="O119" s="78"/>
    </row>
    <row r="120" spans="2:15" x14ac:dyDescent="0.3">
      <c r="B120" s="78"/>
      <c r="C120" s="78"/>
      <c r="D120" s="9">
        <f>D119/27</f>
        <v>159.84131671666668</v>
      </c>
      <c r="E120" s="10" t="s">
        <v>177</v>
      </c>
      <c r="F120" s="10" t="s">
        <v>44</v>
      </c>
      <c r="G120" s="78"/>
      <c r="H120" s="78"/>
      <c r="I120" s="78"/>
      <c r="J120" s="78"/>
      <c r="K120" s="78"/>
      <c r="L120" s="78"/>
      <c r="M120" s="78"/>
      <c r="N120" s="79"/>
      <c r="O120" s="78"/>
    </row>
    <row r="121" spans="2:15" x14ac:dyDescent="0.3">
      <c r="B121" s="78"/>
      <c r="C121" s="78"/>
      <c r="D121" s="9"/>
      <c r="E121" s="10"/>
      <c r="F121" s="10"/>
      <c r="G121" s="78"/>
      <c r="H121" s="78"/>
      <c r="I121" s="78"/>
      <c r="J121" s="78"/>
      <c r="K121" s="78"/>
      <c r="L121" s="78"/>
      <c r="M121" s="78"/>
      <c r="N121" s="79"/>
      <c r="O121" s="78"/>
    </row>
    <row r="122" spans="2:15" x14ac:dyDescent="0.3">
      <c r="B122" s="6">
        <f>B19</f>
        <v>203</v>
      </c>
      <c r="C122" s="6" t="str">
        <f>C19</f>
        <v>20001</v>
      </c>
      <c r="D122" s="8">
        <f>D156</f>
        <v>464.70281854407631</v>
      </c>
      <c r="E122" s="6" t="str">
        <f>E19</f>
        <v>CY</v>
      </c>
      <c r="F122" s="22" t="str">
        <f>F19</f>
        <v>EMBANKMENT, AS PER PLAN</v>
      </c>
      <c r="G122" s="84"/>
      <c r="H122" s="84"/>
      <c r="I122" s="84"/>
      <c r="J122" s="84"/>
      <c r="K122" s="84"/>
      <c r="L122" s="84"/>
      <c r="M122" s="84"/>
      <c r="N122" s="85"/>
      <c r="O122" s="84"/>
    </row>
    <row r="123" spans="2:15" x14ac:dyDescent="0.3">
      <c r="B123" s="78"/>
      <c r="C123" s="78"/>
      <c r="D123" s="82"/>
      <c r="G123" s="78"/>
      <c r="H123" s="78"/>
      <c r="I123" s="78"/>
      <c r="J123" s="78"/>
      <c r="K123" s="78"/>
      <c r="L123" s="78"/>
      <c r="M123" s="78"/>
      <c r="N123" s="79"/>
      <c r="O123" s="78"/>
    </row>
    <row r="124" spans="2:15" x14ac:dyDescent="0.3">
      <c r="B124" s="78"/>
      <c r="C124" s="78" t="s">
        <v>171</v>
      </c>
      <c r="D124" s="80">
        <v>1.5983000000000001</v>
      </c>
      <c r="E124" s="28" t="s">
        <v>170</v>
      </c>
      <c r="F124" s="28" t="s">
        <v>109</v>
      </c>
      <c r="G124" s="78"/>
      <c r="H124" s="78"/>
      <c r="I124" s="78"/>
      <c r="J124" s="78"/>
      <c r="K124" s="78"/>
      <c r="L124" s="78"/>
      <c r="M124" s="78"/>
      <c r="N124" s="79"/>
      <c r="O124" s="78"/>
    </row>
    <row r="125" spans="2:15" x14ac:dyDescent="0.3">
      <c r="B125" s="78"/>
      <c r="C125" s="78"/>
      <c r="D125" s="80">
        <v>48</v>
      </c>
      <c r="E125" s="28" t="s">
        <v>34</v>
      </c>
      <c r="F125" s="28" t="s">
        <v>46</v>
      </c>
      <c r="G125" s="78"/>
      <c r="H125" s="78"/>
      <c r="I125" s="78"/>
      <c r="J125" s="78"/>
      <c r="K125" s="78"/>
      <c r="L125" s="78"/>
      <c r="M125" s="78"/>
      <c r="N125" s="79"/>
      <c r="O125" s="78"/>
    </row>
    <row r="126" spans="2:15" x14ac:dyDescent="0.3">
      <c r="B126" s="78"/>
      <c r="C126" s="78"/>
      <c r="D126" s="82"/>
      <c r="G126" s="78"/>
      <c r="H126" s="78"/>
      <c r="I126" s="78"/>
      <c r="J126" s="78"/>
      <c r="K126" s="78"/>
      <c r="L126" s="78"/>
      <c r="M126" s="78"/>
      <c r="N126" s="79"/>
      <c r="O126" s="78"/>
    </row>
    <row r="127" spans="2:15" x14ac:dyDescent="0.3">
      <c r="B127" s="78"/>
      <c r="C127" s="78" t="s">
        <v>173</v>
      </c>
      <c r="D127" s="80">
        <v>2.8239000000000001</v>
      </c>
      <c r="E127" s="28" t="s">
        <v>170</v>
      </c>
      <c r="F127" s="28" t="s">
        <v>109</v>
      </c>
      <c r="G127" s="78"/>
      <c r="H127" s="78"/>
      <c r="I127" s="78"/>
      <c r="J127" s="78"/>
      <c r="K127" s="78"/>
      <c r="L127" s="78"/>
      <c r="M127" s="78"/>
      <c r="N127" s="79"/>
      <c r="O127" s="78"/>
    </row>
    <row r="128" spans="2:15" x14ac:dyDescent="0.3">
      <c r="B128" s="78"/>
      <c r="C128" s="78"/>
      <c r="D128" s="80">
        <v>776.25</v>
      </c>
      <c r="E128" s="131" t="s">
        <v>34</v>
      </c>
      <c r="F128" s="131" t="s">
        <v>265</v>
      </c>
      <c r="G128" s="78"/>
      <c r="H128" s="78"/>
      <c r="I128" s="78"/>
      <c r="J128" s="78"/>
      <c r="K128" s="78"/>
      <c r="L128" s="78"/>
      <c r="M128" s="78"/>
      <c r="N128" s="79"/>
      <c r="O128" s="78"/>
    </row>
    <row r="129" spans="2:15" x14ac:dyDescent="0.3">
      <c r="B129" s="78"/>
      <c r="C129" s="78"/>
      <c r="D129" s="80">
        <v>768</v>
      </c>
      <c r="E129" s="131" t="s">
        <v>34</v>
      </c>
      <c r="F129" s="131" t="s">
        <v>266</v>
      </c>
      <c r="G129" s="78"/>
      <c r="H129" s="78"/>
      <c r="I129" s="78"/>
      <c r="J129" s="78"/>
      <c r="K129" s="78"/>
      <c r="L129" s="78"/>
      <c r="M129" s="78"/>
      <c r="N129" s="79"/>
      <c r="O129" s="78"/>
    </row>
    <row r="130" spans="2:15" x14ac:dyDescent="0.3">
      <c r="B130" s="78"/>
      <c r="C130" s="78"/>
      <c r="D130" s="80">
        <v>762.5</v>
      </c>
      <c r="E130" s="131" t="s">
        <v>34</v>
      </c>
      <c r="F130" s="131" t="s">
        <v>268</v>
      </c>
      <c r="G130" s="78"/>
      <c r="H130" s="78"/>
      <c r="I130" s="78"/>
      <c r="J130" s="78"/>
      <c r="K130" s="78"/>
      <c r="L130" s="78"/>
      <c r="M130" s="78"/>
      <c r="N130" s="79"/>
      <c r="O130" s="78"/>
    </row>
    <row r="131" spans="2:15" x14ac:dyDescent="0.3">
      <c r="B131" s="78"/>
      <c r="C131" s="78"/>
      <c r="D131" s="80">
        <f>(1.5*((D128-D130)^2))/2</f>
        <v>141.796875</v>
      </c>
      <c r="E131" s="131" t="s">
        <v>170</v>
      </c>
      <c r="F131" s="131" t="s">
        <v>271</v>
      </c>
      <c r="G131" s="78"/>
      <c r="H131" s="78"/>
      <c r="I131" s="78"/>
      <c r="J131" s="78"/>
      <c r="K131" s="78"/>
      <c r="L131" s="78"/>
      <c r="M131" s="78"/>
      <c r="N131" s="79"/>
      <c r="O131" s="78"/>
    </row>
    <row r="132" spans="2:15" x14ac:dyDescent="0.3">
      <c r="B132" s="78"/>
      <c r="C132" s="78"/>
      <c r="D132" s="80">
        <f>(1.5*((D129-D130)^2))/2</f>
        <v>22.6875</v>
      </c>
      <c r="E132" s="131" t="s">
        <v>170</v>
      </c>
      <c r="F132" s="131" t="s">
        <v>272</v>
      </c>
      <c r="G132" s="78"/>
      <c r="H132" s="78"/>
      <c r="I132" s="78"/>
      <c r="J132" s="78"/>
      <c r="K132" s="78"/>
      <c r="L132" s="78"/>
      <c r="M132" s="78"/>
      <c r="N132" s="79"/>
      <c r="O132" s="78"/>
    </row>
    <row r="133" spans="2:15" x14ac:dyDescent="0.3">
      <c r="B133" s="78"/>
      <c r="C133" s="78"/>
      <c r="D133" s="80">
        <f>(D131+D132)/2</f>
        <v>82.2421875</v>
      </c>
      <c r="E133" s="131" t="s">
        <v>170</v>
      </c>
      <c r="F133" s="131" t="s">
        <v>270</v>
      </c>
      <c r="G133" s="78"/>
      <c r="H133" s="78"/>
      <c r="I133" s="78"/>
      <c r="J133" s="78"/>
      <c r="K133" s="78"/>
      <c r="L133" s="78"/>
      <c r="M133" s="78"/>
      <c r="N133" s="79"/>
      <c r="O133" s="78"/>
    </row>
    <row r="134" spans="2:15" x14ac:dyDescent="0.3">
      <c r="B134" s="78"/>
      <c r="C134" s="78"/>
      <c r="D134" s="80">
        <f>D112</f>
        <v>44.29</v>
      </c>
      <c r="E134" s="131" t="s">
        <v>34</v>
      </c>
      <c r="F134" s="131" t="s">
        <v>263</v>
      </c>
      <c r="G134" s="78"/>
      <c r="H134" s="78"/>
      <c r="I134" s="78"/>
      <c r="J134" s="78"/>
      <c r="K134" s="78"/>
      <c r="L134" s="78"/>
      <c r="M134" s="78"/>
      <c r="N134" s="79"/>
      <c r="O134" s="78"/>
    </row>
    <row r="135" spans="2:15" x14ac:dyDescent="0.3">
      <c r="B135" s="78"/>
      <c r="C135" s="78"/>
      <c r="D135" s="80">
        <v>27</v>
      </c>
      <c r="E135" s="131" t="s">
        <v>34</v>
      </c>
      <c r="F135" s="131" t="s">
        <v>181</v>
      </c>
      <c r="G135" s="78"/>
      <c r="H135" s="78"/>
      <c r="I135" s="78"/>
      <c r="J135" s="78"/>
      <c r="K135" s="78"/>
      <c r="L135" s="78"/>
      <c r="M135" s="78"/>
      <c r="N135" s="79"/>
      <c r="O135" s="78"/>
    </row>
    <row r="136" spans="2:15" x14ac:dyDescent="0.3">
      <c r="B136" s="78"/>
      <c r="C136" s="78"/>
      <c r="D136" s="82">
        <f>(D133*D135)+((D134+D135)*D127)</f>
        <v>2421.8548934999999</v>
      </c>
      <c r="E136" s="131" t="s">
        <v>269</v>
      </c>
      <c r="F136" s="131" t="s">
        <v>267</v>
      </c>
      <c r="G136" s="78"/>
      <c r="H136" s="78"/>
      <c r="I136" s="78"/>
      <c r="J136" s="78"/>
      <c r="K136" s="78"/>
      <c r="L136" s="78"/>
      <c r="M136" s="78"/>
      <c r="N136" s="79"/>
      <c r="O136" s="78"/>
    </row>
    <row r="137" spans="2:15" x14ac:dyDescent="0.3">
      <c r="B137" s="78"/>
      <c r="C137" s="78"/>
      <c r="D137" s="82"/>
      <c r="G137" s="78"/>
      <c r="H137" s="78"/>
      <c r="I137" s="78"/>
      <c r="J137" s="78"/>
      <c r="K137" s="78"/>
      <c r="L137" s="78"/>
      <c r="M137" s="78"/>
      <c r="N137" s="79"/>
      <c r="O137" s="78"/>
    </row>
    <row r="138" spans="2:15" x14ac:dyDescent="0.3">
      <c r="B138" s="78"/>
      <c r="C138" s="78" t="s">
        <v>172</v>
      </c>
      <c r="D138" s="80">
        <v>2.0394000000000001</v>
      </c>
      <c r="E138" s="28" t="s">
        <v>170</v>
      </c>
      <c r="F138" s="28" t="s">
        <v>109</v>
      </c>
      <c r="G138" s="78"/>
      <c r="H138" s="78"/>
      <c r="I138" s="78"/>
      <c r="J138" s="78"/>
      <c r="K138" s="78"/>
      <c r="L138" s="78"/>
      <c r="M138" s="78"/>
      <c r="N138" s="79"/>
      <c r="O138" s="78"/>
    </row>
    <row r="139" spans="2:15" x14ac:dyDescent="0.3">
      <c r="B139" s="78"/>
      <c r="C139" s="78"/>
      <c r="D139" s="80">
        <v>48</v>
      </c>
      <c r="E139" s="28" t="s">
        <v>34</v>
      </c>
      <c r="F139" s="28" t="s">
        <v>46</v>
      </c>
      <c r="G139" s="78"/>
      <c r="H139" s="78"/>
      <c r="I139" s="78"/>
      <c r="J139" s="78"/>
      <c r="K139" s="78"/>
      <c r="L139" s="78"/>
      <c r="M139" s="78"/>
      <c r="N139" s="79"/>
      <c r="O139" s="78"/>
    </row>
    <row r="140" spans="2:15" x14ac:dyDescent="0.3">
      <c r="B140" s="78"/>
      <c r="C140" s="78"/>
      <c r="D140" s="82"/>
      <c r="G140" s="78"/>
      <c r="H140" s="78"/>
      <c r="I140" s="78"/>
      <c r="J140" s="78"/>
      <c r="K140" s="78"/>
      <c r="L140" s="78"/>
      <c r="M140" s="78"/>
      <c r="N140" s="79"/>
      <c r="O140" s="78"/>
    </row>
    <row r="141" spans="2:15" x14ac:dyDescent="0.3">
      <c r="B141" s="78"/>
      <c r="C141" s="78" t="s">
        <v>174</v>
      </c>
      <c r="D141" s="80">
        <v>2.3151999999999999</v>
      </c>
      <c r="E141" s="28" t="s">
        <v>170</v>
      </c>
      <c r="F141" s="28" t="s">
        <v>109</v>
      </c>
      <c r="G141" s="78"/>
      <c r="H141" s="78"/>
      <c r="I141" s="78"/>
      <c r="J141" s="78"/>
      <c r="K141" s="78"/>
      <c r="L141" s="78"/>
      <c r="M141" s="78"/>
      <c r="N141" s="79"/>
      <c r="O141" s="78"/>
    </row>
    <row r="142" spans="2:15" x14ac:dyDescent="0.3">
      <c r="B142" s="78"/>
      <c r="C142" s="78"/>
      <c r="D142" s="80">
        <v>777.25</v>
      </c>
      <c r="E142" s="131" t="s">
        <v>34</v>
      </c>
      <c r="F142" s="131" t="s">
        <v>265</v>
      </c>
      <c r="G142" s="78"/>
      <c r="H142" s="78"/>
      <c r="I142" s="78"/>
      <c r="J142" s="78"/>
      <c r="K142" s="78"/>
      <c r="L142" s="78"/>
      <c r="M142" s="78"/>
      <c r="N142" s="79"/>
      <c r="O142" s="78"/>
    </row>
    <row r="143" spans="2:15" x14ac:dyDescent="0.3">
      <c r="B143" s="78"/>
      <c r="C143" s="78"/>
      <c r="D143" s="80">
        <v>769</v>
      </c>
      <c r="E143" s="131" t="s">
        <v>34</v>
      </c>
      <c r="F143" s="131" t="s">
        <v>266</v>
      </c>
      <c r="G143" s="78"/>
      <c r="H143" s="78"/>
      <c r="I143" s="78"/>
      <c r="J143" s="78"/>
      <c r="K143" s="78"/>
      <c r="L143" s="78"/>
      <c r="M143" s="78"/>
      <c r="N143" s="79"/>
      <c r="O143" s="78"/>
    </row>
    <row r="144" spans="2:15" x14ac:dyDescent="0.3">
      <c r="B144" s="78"/>
      <c r="C144" s="78"/>
      <c r="D144" s="80">
        <v>763.5</v>
      </c>
      <c r="E144" s="131" t="s">
        <v>34</v>
      </c>
      <c r="F144" s="131" t="s">
        <v>268</v>
      </c>
      <c r="G144" s="78"/>
      <c r="H144" s="78"/>
      <c r="I144" s="78"/>
      <c r="J144" s="78"/>
      <c r="K144" s="78"/>
      <c r="L144" s="78"/>
      <c r="M144" s="78"/>
      <c r="N144" s="79"/>
      <c r="O144" s="78"/>
    </row>
    <row r="145" spans="2:15" x14ac:dyDescent="0.3">
      <c r="B145" s="78"/>
      <c r="C145" s="78"/>
      <c r="D145" s="80">
        <f>(1.5*((D142-D144)^2))/2</f>
        <v>141.796875</v>
      </c>
      <c r="E145" s="131" t="s">
        <v>170</v>
      </c>
      <c r="F145" s="131" t="s">
        <v>271</v>
      </c>
      <c r="G145" s="78"/>
      <c r="H145" s="78"/>
      <c r="I145" s="78"/>
      <c r="J145" s="78"/>
      <c r="K145" s="78"/>
      <c r="L145" s="78"/>
      <c r="M145" s="78"/>
      <c r="N145" s="79"/>
      <c r="O145" s="78"/>
    </row>
    <row r="146" spans="2:15" x14ac:dyDescent="0.3">
      <c r="B146" s="78"/>
      <c r="C146" s="78"/>
      <c r="D146" s="80">
        <f>(1.5*((D143-D144)^2))/2</f>
        <v>22.6875</v>
      </c>
      <c r="E146" s="131" t="s">
        <v>170</v>
      </c>
      <c r="F146" s="131" t="s">
        <v>272</v>
      </c>
      <c r="G146" s="78"/>
      <c r="H146" s="78"/>
      <c r="I146" s="78"/>
      <c r="J146" s="78"/>
      <c r="K146" s="78"/>
      <c r="L146" s="78"/>
      <c r="M146" s="78"/>
      <c r="N146" s="79"/>
      <c r="O146" s="78"/>
    </row>
    <row r="147" spans="2:15" x14ac:dyDescent="0.3">
      <c r="B147" s="78"/>
      <c r="C147" s="78"/>
      <c r="D147" s="80">
        <f>(D145+D146)/2</f>
        <v>82.2421875</v>
      </c>
      <c r="E147" s="131" t="s">
        <v>170</v>
      </c>
      <c r="F147" s="131" t="s">
        <v>270</v>
      </c>
      <c r="G147" s="78"/>
      <c r="H147" s="78"/>
      <c r="I147" s="78"/>
      <c r="J147" s="78"/>
      <c r="K147" s="78"/>
      <c r="L147" s="78"/>
      <c r="M147" s="78"/>
      <c r="N147" s="79"/>
      <c r="O147" s="78"/>
    </row>
    <row r="148" spans="2:15" x14ac:dyDescent="0.3">
      <c r="B148" s="78"/>
      <c r="C148" s="78"/>
      <c r="D148" s="80">
        <f>D134</f>
        <v>44.29</v>
      </c>
      <c r="E148" s="131" t="s">
        <v>34</v>
      </c>
      <c r="F148" s="131" t="s">
        <v>263</v>
      </c>
      <c r="G148" s="78"/>
      <c r="H148" s="78"/>
      <c r="I148" s="78"/>
      <c r="J148" s="78"/>
      <c r="K148" s="78"/>
      <c r="L148" s="78"/>
      <c r="M148" s="78"/>
      <c r="N148" s="79"/>
      <c r="O148" s="78"/>
    </row>
    <row r="149" spans="2:15" x14ac:dyDescent="0.3">
      <c r="B149" s="78"/>
      <c r="C149" s="78"/>
      <c r="D149" s="80">
        <v>24</v>
      </c>
      <c r="E149" s="28" t="s">
        <v>34</v>
      </c>
      <c r="F149" s="28" t="s">
        <v>181</v>
      </c>
      <c r="G149" s="78"/>
      <c r="H149" s="78"/>
      <c r="I149" s="78"/>
      <c r="J149" s="78"/>
      <c r="K149" s="78"/>
      <c r="L149" s="78"/>
      <c r="M149" s="78"/>
      <c r="N149" s="79"/>
      <c r="O149" s="78"/>
    </row>
    <row r="150" spans="2:15" x14ac:dyDescent="0.3">
      <c r="D150" s="82">
        <f>(D147*D149)+((D148+D149)*D141)</f>
        <v>2131.917508</v>
      </c>
      <c r="E150" s="131" t="s">
        <v>269</v>
      </c>
      <c r="F150" s="131" t="s">
        <v>267</v>
      </c>
    </row>
    <row r="151" spans="2:15" x14ac:dyDescent="0.3">
      <c r="D151" s="82"/>
    </row>
    <row r="152" spans="2:15" x14ac:dyDescent="0.3">
      <c r="D152" s="82">
        <f>D124*D125+D127*D136+D138*D139+D141*D150</f>
        <v>11949.501048276248</v>
      </c>
      <c r="E152" s="28" t="s">
        <v>176</v>
      </c>
      <c r="F152" s="28" t="s">
        <v>67</v>
      </c>
    </row>
    <row r="153" spans="2:15" x14ac:dyDescent="0.3">
      <c r="B153" s="78"/>
      <c r="D153" s="82">
        <f>D152*5%</f>
        <v>597.47505241381248</v>
      </c>
      <c r="E153" s="28" t="s">
        <v>176</v>
      </c>
      <c r="F153" s="86" t="s">
        <v>175</v>
      </c>
      <c r="G153" s="78"/>
      <c r="H153" s="78"/>
      <c r="I153" s="78"/>
      <c r="J153" s="78"/>
      <c r="K153" s="78"/>
      <c r="L153" s="78"/>
      <c r="M153" s="78"/>
      <c r="N153" s="79"/>
      <c r="O153" s="78"/>
    </row>
    <row r="154" spans="2:15" x14ac:dyDescent="0.3">
      <c r="B154" s="78"/>
      <c r="C154" s="78"/>
      <c r="D154" s="82"/>
      <c r="G154" s="78"/>
      <c r="H154" s="78"/>
      <c r="I154" s="78"/>
      <c r="J154" s="78"/>
      <c r="K154" s="78"/>
      <c r="L154" s="78"/>
      <c r="M154" s="78"/>
      <c r="N154" s="79"/>
      <c r="O154" s="78"/>
    </row>
    <row r="155" spans="2:15" x14ac:dyDescent="0.3">
      <c r="B155" s="78"/>
      <c r="C155" s="78"/>
      <c r="D155" s="82">
        <f>D152+D153</f>
        <v>12546.976100690061</v>
      </c>
      <c r="E155" s="28" t="s">
        <v>41</v>
      </c>
      <c r="F155" s="28" t="s">
        <v>44</v>
      </c>
      <c r="G155" s="78"/>
      <c r="H155" s="78"/>
      <c r="I155" s="78"/>
      <c r="J155" s="78"/>
      <c r="K155" s="78"/>
      <c r="L155" s="78"/>
      <c r="M155" s="78"/>
      <c r="N155" s="79"/>
      <c r="O155" s="78"/>
    </row>
    <row r="156" spans="2:15" x14ac:dyDescent="0.3">
      <c r="B156" s="78"/>
      <c r="C156" s="78"/>
      <c r="D156" s="9">
        <f>D155/27</f>
        <v>464.70281854407631</v>
      </c>
      <c r="E156" s="10" t="s">
        <v>177</v>
      </c>
      <c r="F156" s="10" t="s">
        <v>44</v>
      </c>
      <c r="G156" s="78"/>
      <c r="H156" s="78"/>
      <c r="I156" s="78"/>
      <c r="J156" s="78"/>
      <c r="K156" s="78"/>
      <c r="L156" s="78"/>
      <c r="M156" s="78"/>
      <c r="N156" s="79"/>
      <c r="O156" s="78"/>
    </row>
    <row r="157" spans="2:15" x14ac:dyDescent="0.3">
      <c r="B157" s="78"/>
      <c r="C157" s="78"/>
      <c r="D157" s="9"/>
      <c r="E157" s="10"/>
      <c r="F157" s="10"/>
      <c r="G157" s="78"/>
      <c r="H157" s="78"/>
      <c r="I157" s="78"/>
      <c r="J157" s="78"/>
      <c r="K157" s="78"/>
      <c r="L157" s="78"/>
      <c r="M157" s="78"/>
      <c r="N157" s="79"/>
      <c r="O157" s="78"/>
    </row>
    <row r="158" spans="2:15" x14ac:dyDescent="0.3">
      <c r="B158" s="6">
        <f>B22</f>
        <v>503</v>
      </c>
      <c r="C158" s="6" t="str">
        <f>C22</f>
        <v>21301</v>
      </c>
      <c r="D158" s="8">
        <v>1</v>
      </c>
      <c r="E158" s="6" t="str">
        <f>E22</f>
        <v>LS</v>
      </c>
      <c r="F158" s="22" t="str">
        <f>F22</f>
        <v>UNCLASSIFIED EXCAVATION, AS PER PLAN</v>
      </c>
      <c r="G158" s="84"/>
      <c r="H158" s="84"/>
      <c r="I158" s="84"/>
      <c r="J158" s="84"/>
      <c r="K158" s="84"/>
      <c r="L158" s="84"/>
      <c r="M158" s="84"/>
      <c r="N158" s="85"/>
      <c r="O158" s="84"/>
    </row>
    <row r="159" spans="2:15" x14ac:dyDescent="0.3">
      <c r="B159" s="78"/>
      <c r="C159" s="78"/>
      <c r="E159" s="78"/>
      <c r="F159" s="78"/>
      <c r="G159" s="78"/>
      <c r="H159" s="78"/>
      <c r="I159" s="78"/>
      <c r="J159" s="78"/>
      <c r="K159" s="78"/>
      <c r="L159" s="78"/>
      <c r="M159" s="78"/>
      <c r="N159" s="79"/>
      <c r="O159" s="78"/>
    </row>
    <row r="160" spans="2:15" x14ac:dyDescent="0.3">
      <c r="B160" s="6">
        <f>B23</f>
        <v>503</v>
      </c>
      <c r="C160" s="6" t="str">
        <f>C23</f>
        <v>31100</v>
      </c>
      <c r="D160" s="11">
        <f>ROUNDUP(D165,0)</f>
        <v>35</v>
      </c>
      <c r="E160" s="6" t="str">
        <f>E23</f>
        <v>CY</v>
      </c>
      <c r="F160" s="22" t="str">
        <f>F23</f>
        <v>ROCK EXCAVATION</v>
      </c>
      <c r="G160" s="84"/>
      <c r="H160" s="84"/>
      <c r="I160" s="84"/>
      <c r="J160" s="84"/>
      <c r="K160" s="84"/>
      <c r="L160" s="84"/>
      <c r="M160" s="84"/>
      <c r="N160" s="85"/>
      <c r="O160" s="84"/>
    </row>
    <row r="161" spans="2:15" x14ac:dyDescent="0.3">
      <c r="B161" s="94" t="s">
        <v>215</v>
      </c>
      <c r="C161" s="78"/>
      <c r="D161" s="80">
        <v>12.5</v>
      </c>
      <c r="E161" s="28" t="s">
        <v>170</v>
      </c>
      <c r="F161" s="28" t="s">
        <v>109</v>
      </c>
      <c r="G161" s="78"/>
      <c r="H161" s="78"/>
      <c r="I161" s="78"/>
      <c r="J161" s="78"/>
      <c r="K161" s="78"/>
      <c r="L161" s="78"/>
      <c r="M161" s="78"/>
      <c r="N161" s="79"/>
      <c r="O161" s="78"/>
    </row>
    <row r="162" spans="2:15" x14ac:dyDescent="0.3">
      <c r="B162" s="78"/>
      <c r="C162" s="78"/>
      <c r="D162" s="80">
        <v>74</v>
      </c>
      <c r="E162" s="28" t="s">
        <v>34</v>
      </c>
      <c r="F162" s="95" t="s">
        <v>216</v>
      </c>
      <c r="G162" s="78"/>
      <c r="H162" s="78"/>
      <c r="I162" s="78"/>
      <c r="J162" s="78"/>
      <c r="K162" s="78"/>
      <c r="L162" s="78"/>
      <c r="M162" s="78"/>
      <c r="N162" s="79"/>
      <c r="O162" s="78"/>
    </row>
    <row r="163" spans="2:15" x14ac:dyDescent="0.3">
      <c r="D163" s="82"/>
    </row>
    <row r="164" spans="2:15" x14ac:dyDescent="0.3">
      <c r="B164" s="78"/>
      <c r="C164" s="78"/>
      <c r="D164" s="82">
        <f>D161*D162</f>
        <v>925</v>
      </c>
      <c r="E164" s="28" t="s">
        <v>41</v>
      </c>
      <c r="F164" s="28" t="s">
        <v>44</v>
      </c>
      <c r="G164" s="78"/>
      <c r="H164" s="78"/>
      <c r="I164" s="78"/>
      <c r="J164" s="78"/>
      <c r="K164" s="78"/>
      <c r="L164" s="78"/>
      <c r="M164" s="78"/>
      <c r="N164" s="79"/>
      <c r="O164" s="78"/>
    </row>
    <row r="165" spans="2:15" x14ac:dyDescent="0.3">
      <c r="B165" s="78"/>
      <c r="C165" s="78"/>
      <c r="D165" s="9">
        <f>D164/27</f>
        <v>34.25925925925926</v>
      </c>
      <c r="E165" s="10" t="s">
        <v>177</v>
      </c>
      <c r="F165" s="10" t="s">
        <v>44</v>
      </c>
      <c r="G165" s="78"/>
      <c r="H165" s="78"/>
      <c r="I165" s="78"/>
      <c r="J165" s="78"/>
      <c r="K165" s="78"/>
      <c r="L165" s="78"/>
      <c r="M165" s="78"/>
      <c r="N165" s="79"/>
      <c r="O165" s="78"/>
    </row>
    <row r="166" spans="2:15" x14ac:dyDescent="0.3">
      <c r="B166" s="78"/>
      <c r="C166" s="78"/>
      <c r="D166" s="9"/>
      <c r="E166" s="10"/>
      <c r="F166" s="10"/>
      <c r="G166" s="78"/>
      <c r="H166" s="78"/>
      <c r="I166" s="78"/>
      <c r="J166" s="78"/>
      <c r="K166" s="78"/>
      <c r="L166" s="78"/>
      <c r="M166" s="78"/>
      <c r="N166" s="79"/>
      <c r="O166" s="78"/>
    </row>
    <row r="167" spans="2:15" x14ac:dyDescent="0.3">
      <c r="B167" s="6">
        <f>B25</f>
        <v>507</v>
      </c>
      <c r="C167" s="6" t="str">
        <f>C25</f>
        <v>00101</v>
      </c>
      <c r="D167" s="8">
        <f>D173</f>
        <v>700</v>
      </c>
      <c r="E167" s="6" t="str">
        <f>E25</f>
        <v>FT</v>
      </c>
      <c r="F167" s="22" t="str">
        <f>F25</f>
        <v>STEEL PILES HP10X42, FURNISHED, AS PER PLAN</v>
      </c>
      <c r="G167" s="84"/>
      <c r="H167" s="84"/>
      <c r="I167" s="84"/>
      <c r="J167" s="84"/>
      <c r="K167" s="84"/>
      <c r="L167" s="84"/>
      <c r="M167" s="84"/>
      <c r="N167" s="85"/>
      <c r="O167" s="84"/>
    </row>
    <row r="168" spans="2:15" x14ac:dyDescent="0.3">
      <c r="B168" s="28" t="s">
        <v>99</v>
      </c>
      <c r="D168" s="80">
        <v>10</v>
      </c>
      <c r="E168" s="28" t="s">
        <v>37</v>
      </c>
      <c r="F168" s="28" t="s">
        <v>98</v>
      </c>
    </row>
    <row r="169" spans="2:15" x14ac:dyDescent="0.3">
      <c r="D169" s="80">
        <v>2</v>
      </c>
      <c r="E169" s="28" t="s">
        <v>37</v>
      </c>
      <c r="F169" s="28" t="s">
        <v>99</v>
      </c>
    </row>
    <row r="170" spans="2:15" x14ac:dyDescent="0.3">
      <c r="D170" s="80">
        <v>35</v>
      </c>
      <c r="E170" s="28" t="s">
        <v>34</v>
      </c>
      <c r="F170" s="128" t="s">
        <v>253</v>
      </c>
    </row>
    <row r="171" spans="2:15" x14ac:dyDescent="0.3">
      <c r="D171" s="82">
        <f>D168*D169*D170</f>
        <v>700</v>
      </c>
      <c r="E171" s="28" t="s">
        <v>34</v>
      </c>
      <c r="F171" s="28" t="s">
        <v>100</v>
      </c>
    </row>
    <row r="172" spans="2:15" x14ac:dyDescent="0.3">
      <c r="D172" s="82"/>
    </row>
    <row r="173" spans="2:15" x14ac:dyDescent="0.3">
      <c r="D173" s="9">
        <f>D171</f>
        <v>700</v>
      </c>
      <c r="E173" s="10" t="s">
        <v>34</v>
      </c>
      <c r="F173" s="10" t="s">
        <v>63</v>
      </c>
    </row>
    <row r="174" spans="2:15" x14ac:dyDescent="0.3">
      <c r="D174" s="82"/>
    </row>
    <row r="175" spans="2:15" x14ac:dyDescent="0.3">
      <c r="B175" s="6">
        <f>B26</f>
        <v>507</v>
      </c>
      <c r="C175" s="7" t="str">
        <f>C26</f>
        <v>92201</v>
      </c>
      <c r="D175" s="8">
        <f>D187</f>
        <v>457.00000000000045</v>
      </c>
      <c r="E175" s="6" t="str">
        <f>E26</f>
        <v>FT</v>
      </c>
      <c r="F175" s="22" t="str">
        <f>F26</f>
        <v>PREBORED HOLES, AS PER PLAN</v>
      </c>
      <c r="G175" s="84"/>
      <c r="H175" s="84"/>
      <c r="I175" s="84"/>
      <c r="J175" s="84"/>
      <c r="K175" s="84"/>
      <c r="L175" s="84"/>
      <c r="M175" s="84"/>
      <c r="N175" s="85"/>
      <c r="O175" s="84"/>
    </row>
    <row r="176" spans="2:15" x14ac:dyDescent="0.3">
      <c r="D176" s="82"/>
    </row>
    <row r="177" spans="2:15" x14ac:dyDescent="0.3">
      <c r="B177" s="28" t="s">
        <v>209</v>
      </c>
      <c r="D177" s="80">
        <v>757.3</v>
      </c>
      <c r="E177" s="132" t="s">
        <v>34</v>
      </c>
      <c r="F177" s="132" t="s">
        <v>274</v>
      </c>
    </row>
    <row r="178" spans="2:15" x14ac:dyDescent="0.3">
      <c r="D178" s="80">
        <v>739.9</v>
      </c>
      <c r="E178" s="132" t="s">
        <v>34</v>
      </c>
      <c r="F178" s="132" t="s">
        <v>273</v>
      </c>
    </row>
    <row r="179" spans="2:15" x14ac:dyDescent="0.3">
      <c r="D179" s="82">
        <f>D177-D178</f>
        <v>17.399999999999977</v>
      </c>
      <c r="E179" s="28" t="s">
        <v>34</v>
      </c>
      <c r="F179" s="28" t="s">
        <v>212</v>
      </c>
    </row>
    <row r="180" spans="2:15" x14ac:dyDescent="0.3">
      <c r="D180" s="80">
        <v>10</v>
      </c>
      <c r="E180" s="28" t="s">
        <v>37</v>
      </c>
      <c r="F180" s="28" t="s">
        <v>210</v>
      </c>
    </row>
    <row r="181" spans="2:15" x14ac:dyDescent="0.3">
      <c r="D181" s="82"/>
    </row>
    <row r="182" spans="2:15" x14ac:dyDescent="0.3">
      <c r="B182" s="28" t="s">
        <v>211</v>
      </c>
      <c r="D182" s="80">
        <v>768.2</v>
      </c>
      <c r="E182" s="132" t="s">
        <v>34</v>
      </c>
      <c r="F182" s="132" t="s">
        <v>274</v>
      </c>
    </row>
    <row r="183" spans="2:15" x14ac:dyDescent="0.3">
      <c r="D183" s="80">
        <v>739.9</v>
      </c>
      <c r="E183" s="132" t="s">
        <v>34</v>
      </c>
      <c r="F183" s="132" t="s">
        <v>273</v>
      </c>
    </row>
    <row r="184" spans="2:15" x14ac:dyDescent="0.3">
      <c r="D184" s="82">
        <f>D182-D183</f>
        <v>28.300000000000068</v>
      </c>
      <c r="E184" s="28" t="s">
        <v>34</v>
      </c>
      <c r="F184" s="28" t="s">
        <v>212</v>
      </c>
    </row>
    <row r="185" spans="2:15" x14ac:dyDescent="0.3">
      <c r="D185" s="80">
        <v>10</v>
      </c>
      <c r="E185" s="28" t="s">
        <v>37</v>
      </c>
      <c r="F185" s="28" t="s">
        <v>210</v>
      </c>
    </row>
    <row r="186" spans="2:15" x14ac:dyDescent="0.3">
      <c r="D186" s="82"/>
    </row>
    <row r="187" spans="2:15" x14ac:dyDescent="0.3">
      <c r="D187" s="9">
        <f>D179*D180+D184*D185</f>
        <v>457.00000000000045</v>
      </c>
      <c r="E187" s="10" t="s">
        <v>34</v>
      </c>
      <c r="F187" s="10" t="s">
        <v>203</v>
      </c>
    </row>
    <row r="188" spans="2:15" x14ac:dyDescent="0.3">
      <c r="D188" s="82"/>
    </row>
    <row r="189" spans="2:15" x14ac:dyDescent="0.3">
      <c r="B189" s="6">
        <f>B28</f>
        <v>509</v>
      </c>
      <c r="C189" s="7" t="str">
        <f>C28</f>
        <v>10000</v>
      </c>
      <c r="D189" s="8">
        <f>ROUNDUP(D204,0)</f>
        <v>50700</v>
      </c>
      <c r="E189" s="6" t="str">
        <f>E28</f>
        <v>LB</v>
      </c>
      <c r="F189" s="22" t="str">
        <f>F28</f>
        <v>EPOXY COATED STEEL REINFORCEMENT</v>
      </c>
      <c r="G189" s="84"/>
      <c r="H189" s="84"/>
      <c r="I189" s="84"/>
      <c r="J189" s="84"/>
      <c r="K189" s="84"/>
      <c r="L189" s="84"/>
      <c r="M189" s="84"/>
      <c r="N189" s="85"/>
      <c r="O189" s="84"/>
    </row>
    <row r="190" spans="2:15" x14ac:dyDescent="0.3">
      <c r="B190" s="28" t="s">
        <v>33</v>
      </c>
      <c r="D190" s="82">
        <f>D237</f>
        <v>3410.0386350000003</v>
      </c>
      <c r="E190" s="28" t="s">
        <v>41</v>
      </c>
    </row>
    <row r="191" spans="2:15" x14ac:dyDescent="0.3">
      <c r="D191" s="80">
        <v>8</v>
      </c>
      <c r="E191" s="28" t="s">
        <v>42</v>
      </c>
      <c r="F191" s="28" t="s">
        <v>43</v>
      </c>
    </row>
    <row r="192" spans="2:15" x14ac:dyDescent="0.3">
      <c r="D192" s="82">
        <f>ROUNDUP(D190*D191,-2)</f>
        <v>27300</v>
      </c>
      <c r="E192" s="28" t="s">
        <v>38</v>
      </c>
      <c r="F192" s="28" t="s">
        <v>168</v>
      </c>
    </row>
    <row r="193" spans="2:15" x14ac:dyDescent="0.3">
      <c r="D193" s="28"/>
    </row>
    <row r="194" spans="2:15" x14ac:dyDescent="0.3">
      <c r="B194" s="28" t="s">
        <v>51</v>
      </c>
      <c r="D194" s="82">
        <f>D252+D264+I252+I264</f>
        <v>2447.2699999999995</v>
      </c>
      <c r="E194" s="28" t="s">
        <v>41</v>
      </c>
      <c r="F194" s="28" t="s">
        <v>76</v>
      </c>
    </row>
    <row r="195" spans="2:15" x14ac:dyDescent="0.3">
      <c r="C195" s="28" t="s">
        <v>161</v>
      </c>
      <c r="D195" s="80">
        <v>6.5</v>
      </c>
      <c r="E195" s="28" t="s">
        <v>42</v>
      </c>
      <c r="F195" s="28" t="s">
        <v>43</v>
      </c>
    </row>
    <row r="196" spans="2:15" x14ac:dyDescent="0.3">
      <c r="D196" s="82">
        <f>ROUNDUP(D194*D195,-2)</f>
        <v>16000</v>
      </c>
      <c r="E196" s="28" t="s">
        <v>38</v>
      </c>
      <c r="F196" s="28" t="s">
        <v>116</v>
      </c>
    </row>
    <row r="197" spans="2:15" x14ac:dyDescent="0.3">
      <c r="D197" s="82"/>
    </row>
    <row r="198" spans="2:15" x14ac:dyDescent="0.3">
      <c r="C198" s="28" t="s">
        <v>115</v>
      </c>
      <c r="D198" s="82">
        <f>D247+I247</f>
        <v>1468.53</v>
      </c>
      <c r="E198" s="28" t="s">
        <v>41</v>
      </c>
      <c r="F198" s="28" t="s">
        <v>76</v>
      </c>
    </row>
    <row r="199" spans="2:15" x14ac:dyDescent="0.3">
      <c r="D199" s="80">
        <v>5</v>
      </c>
      <c r="E199" s="28" t="s">
        <v>42</v>
      </c>
      <c r="F199" s="28" t="s">
        <v>43</v>
      </c>
    </row>
    <row r="200" spans="2:15" x14ac:dyDescent="0.3">
      <c r="D200" s="82">
        <f>ROUNDUP(D198*D199,-2)</f>
        <v>7400</v>
      </c>
      <c r="E200" s="28" t="s">
        <v>38</v>
      </c>
      <c r="F200" s="28" t="s">
        <v>116</v>
      </c>
    </row>
    <row r="201" spans="2:15" x14ac:dyDescent="0.3">
      <c r="D201" s="82"/>
    </row>
    <row r="202" spans="2:15" x14ac:dyDescent="0.3">
      <c r="D202" s="82">
        <f>D196+D200</f>
        <v>23400</v>
      </c>
      <c r="E202" s="28" t="s">
        <v>38</v>
      </c>
      <c r="F202" s="28" t="s">
        <v>117</v>
      </c>
    </row>
    <row r="203" spans="2:15" x14ac:dyDescent="0.3">
      <c r="D203" s="82"/>
    </row>
    <row r="204" spans="2:15" x14ac:dyDescent="0.3">
      <c r="D204" s="9">
        <f>D192+D202</f>
        <v>50700</v>
      </c>
      <c r="E204" s="10" t="s">
        <v>38</v>
      </c>
      <c r="F204" s="10" t="s">
        <v>44</v>
      </c>
    </row>
    <row r="206" spans="2:15" x14ac:dyDescent="0.3">
      <c r="B206" s="6">
        <f>B30</f>
        <v>511</v>
      </c>
      <c r="C206" s="6" t="str">
        <f>C30</f>
        <v>34446</v>
      </c>
      <c r="D206" s="8">
        <f>D239</f>
        <v>127</v>
      </c>
      <c r="E206" s="6" t="str">
        <f>E30</f>
        <v>CY</v>
      </c>
      <c r="F206" s="22" t="str">
        <f>F30</f>
        <v>CLASS QC2 CONCRETE WITH QC/QA, BRIDGE DECK</v>
      </c>
      <c r="G206" s="84"/>
      <c r="H206" s="84"/>
      <c r="I206" s="84"/>
      <c r="J206" s="84"/>
      <c r="K206" s="84"/>
      <c r="L206" s="84"/>
      <c r="M206" s="84"/>
      <c r="N206" s="85"/>
      <c r="O206" s="84"/>
    </row>
    <row r="207" spans="2:15" x14ac:dyDescent="0.3">
      <c r="B207" s="28" t="s">
        <v>33</v>
      </c>
      <c r="D207" s="82">
        <f>D70</f>
        <v>8.5</v>
      </c>
      <c r="E207" s="28" t="s">
        <v>39</v>
      </c>
      <c r="F207" s="28" t="s">
        <v>45</v>
      </c>
    </row>
    <row r="208" spans="2:15" x14ac:dyDescent="0.3">
      <c r="D208" s="82">
        <f>D60</f>
        <v>77.33</v>
      </c>
      <c r="E208" s="28" t="s">
        <v>34</v>
      </c>
      <c r="F208" s="28" t="s">
        <v>46</v>
      </c>
    </row>
    <row r="209" spans="2:6" x14ac:dyDescent="0.3">
      <c r="D209" s="82">
        <f>D61</f>
        <v>36.125</v>
      </c>
      <c r="E209" s="28" t="s">
        <v>34</v>
      </c>
      <c r="F209" s="28" t="s">
        <v>47</v>
      </c>
    </row>
    <row r="210" spans="2:6" x14ac:dyDescent="0.3">
      <c r="D210" s="80">
        <v>2</v>
      </c>
      <c r="E210" s="28" t="s">
        <v>39</v>
      </c>
      <c r="F210" s="28" t="s">
        <v>101</v>
      </c>
    </row>
    <row r="211" spans="2:6" x14ac:dyDescent="0.3">
      <c r="D211" s="80">
        <v>16</v>
      </c>
      <c r="E211" s="28" t="s">
        <v>39</v>
      </c>
      <c r="F211" s="28" t="s">
        <v>48</v>
      </c>
    </row>
    <row r="212" spans="2:6" x14ac:dyDescent="0.3">
      <c r="D212" s="82">
        <f>D67</f>
        <v>5</v>
      </c>
      <c r="E212" s="28" t="s">
        <v>37</v>
      </c>
      <c r="F212" s="28" t="s">
        <v>49</v>
      </c>
    </row>
    <row r="213" spans="2:6" x14ac:dyDescent="0.3">
      <c r="D213" s="82">
        <f>(D207/12)*D208*D209+((D210*D211)/144)*D212*D208</f>
        <v>2064.6841493055554</v>
      </c>
      <c r="E213" s="28" t="s">
        <v>41</v>
      </c>
      <c r="F213" s="28" t="s">
        <v>50</v>
      </c>
    </row>
    <row r="214" spans="2:6" x14ac:dyDescent="0.3">
      <c r="D214" s="82"/>
    </row>
    <row r="215" spans="2:6" x14ac:dyDescent="0.3">
      <c r="B215" s="28" t="s">
        <v>40</v>
      </c>
      <c r="C215" s="28" t="s">
        <v>51</v>
      </c>
      <c r="D215" s="82">
        <f>(D74+14)/12</f>
        <v>4.916666666666667</v>
      </c>
      <c r="E215" s="28" t="s">
        <v>34</v>
      </c>
      <c r="F215" s="28" t="s">
        <v>202</v>
      </c>
    </row>
    <row r="216" spans="2:6" x14ac:dyDescent="0.3">
      <c r="D216" s="82">
        <f>0.016*D96/2</f>
        <v>0.38400000000000001</v>
      </c>
      <c r="E216" s="28" t="s">
        <v>34</v>
      </c>
      <c r="F216" s="28" t="s">
        <v>110</v>
      </c>
    </row>
    <row r="217" spans="2:6" x14ac:dyDescent="0.3">
      <c r="D217" s="80">
        <v>3.33</v>
      </c>
      <c r="E217" s="28" t="s">
        <v>34</v>
      </c>
      <c r="F217" s="28" t="s">
        <v>47</v>
      </c>
    </row>
    <row r="218" spans="2:6" x14ac:dyDescent="0.3">
      <c r="D218" s="82">
        <f>D61</f>
        <v>36.125</v>
      </c>
      <c r="E218" s="28" t="s">
        <v>34</v>
      </c>
      <c r="F218" s="28" t="s">
        <v>46</v>
      </c>
    </row>
    <row r="219" spans="2:6" x14ac:dyDescent="0.3">
      <c r="D219" s="82">
        <f>D215*D218+D218*D216/2</f>
        <v>184.55058333333335</v>
      </c>
      <c r="E219" s="28" t="s">
        <v>66</v>
      </c>
      <c r="F219" s="28" t="s">
        <v>109</v>
      </c>
    </row>
    <row r="220" spans="2:6" x14ac:dyDescent="0.3">
      <c r="D220" s="82">
        <f>D219*D217</f>
        <v>614.55344250000007</v>
      </c>
      <c r="E220" s="28" t="s">
        <v>41</v>
      </c>
      <c r="F220" s="28" t="s">
        <v>114</v>
      </c>
    </row>
    <row r="221" spans="2:6" x14ac:dyDescent="0.3">
      <c r="D221" s="82"/>
    </row>
    <row r="222" spans="2:6" x14ac:dyDescent="0.3">
      <c r="D222" s="80">
        <v>3.89</v>
      </c>
      <c r="E222" s="28" t="s">
        <v>66</v>
      </c>
      <c r="F222" s="28" t="s">
        <v>111</v>
      </c>
    </row>
    <row r="223" spans="2:6" x14ac:dyDescent="0.3">
      <c r="D223" s="82">
        <f>D67</f>
        <v>5</v>
      </c>
      <c r="E223" s="28" t="s">
        <v>37</v>
      </c>
      <c r="F223" s="28" t="s">
        <v>96</v>
      </c>
    </row>
    <row r="224" spans="2:6" x14ac:dyDescent="0.3">
      <c r="D224" s="80">
        <v>2.33</v>
      </c>
      <c r="E224" s="28" t="s">
        <v>34</v>
      </c>
      <c r="F224" s="28" t="s">
        <v>112</v>
      </c>
    </row>
    <row r="225" spans="2:6" x14ac:dyDescent="0.3">
      <c r="D225" s="82">
        <f>D222*D224*D223</f>
        <v>45.3185</v>
      </c>
      <c r="E225" s="28" t="s">
        <v>41</v>
      </c>
      <c r="F225" s="28" t="s">
        <v>113</v>
      </c>
    </row>
    <row r="226" spans="2:6" x14ac:dyDescent="0.3">
      <c r="D226" s="82"/>
    </row>
    <row r="227" spans="2:6" x14ac:dyDescent="0.3">
      <c r="D227" s="82">
        <f>D220-D225</f>
        <v>569.2349425000001</v>
      </c>
      <c r="E227" s="28" t="s">
        <v>41</v>
      </c>
      <c r="F227" s="28" t="s">
        <v>52</v>
      </c>
    </row>
    <row r="228" spans="2:6" x14ac:dyDescent="0.3">
      <c r="D228" s="80">
        <v>2</v>
      </c>
      <c r="E228" s="28" t="s">
        <v>37</v>
      </c>
      <c r="F228" s="28" t="s">
        <v>53</v>
      </c>
    </row>
    <row r="229" spans="2:6" x14ac:dyDescent="0.3">
      <c r="D229" s="82">
        <f>D227*D228</f>
        <v>1138.4698850000002</v>
      </c>
      <c r="E229" s="28" t="s">
        <v>41</v>
      </c>
      <c r="F229" s="28" t="s">
        <v>54</v>
      </c>
    </row>
    <row r="230" spans="2:6" x14ac:dyDescent="0.3">
      <c r="D230" s="82"/>
    </row>
    <row r="231" spans="2:6" x14ac:dyDescent="0.3">
      <c r="B231" s="28" t="s">
        <v>55</v>
      </c>
      <c r="D231" s="82">
        <f>D71</f>
        <v>20</v>
      </c>
      <c r="E231" s="28" t="s">
        <v>39</v>
      </c>
      <c r="F231" s="28" t="s">
        <v>56</v>
      </c>
    </row>
    <row r="232" spans="2:6" x14ac:dyDescent="0.3">
      <c r="D232" s="82">
        <f>D231-D207</f>
        <v>11.5</v>
      </c>
      <c r="E232" s="28" t="s">
        <v>39</v>
      </c>
      <c r="F232" s="28" t="s">
        <v>57</v>
      </c>
    </row>
    <row r="233" spans="2:6" x14ac:dyDescent="0.3">
      <c r="D233" s="82">
        <f>D68+D69</f>
        <v>4.125</v>
      </c>
      <c r="E233" s="28" t="s">
        <v>34</v>
      </c>
      <c r="F233" s="28" t="s">
        <v>58</v>
      </c>
    </row>
    <row r="234" spans="2:6" x14ac:dyDescent="0.3">
      <c r="D234" s="82">
        <f>D233-D211/12</f>
        <v>2.791666666666667</v>
      </c>
      <c r="E234" s="28" t="s">
        <v>34</v>
      </c>
      <c r="F234" s="28" t="s">
        <v>59</v>
      </c>
    </row>
    <row r="235" spans="2:6" x14ac:dyDescent="0.3">
      <c r="D235" s="82">
        <f>(D232/12)*D234*D208</f>
        <v>206.88460069444449</v>
      </c>
      <c r="E235" s="28" t="s">
        <v>41</v>
      </c>
      <c r="F235" s="28" t="s">
        <v>50</v>
      </c>
    </row>
    <row r="236" spans="2:6" x14ac:dyDescent="0.3">
      <c r="D236" s="9"/>
      <c r="E236" s="10"/>
      <c r="F236" s="10"/>
    </row>
    <row r="237" spans="2:6" x14ac:dyDescent="0.3">
      <c r="D237" s="82">
        <f>D213+D229+D235</f>
        <v>3410.0386350000003</v>
      </c>
      <c r="E237" s="28" t="s">
        <v>41</v>
      </c>
      <c r="F237" s="28" t="s">
        <v>61</v>
      </c>
    </row>
    <row r="238" spans="2:6" x14ac:dyDescent="0.3">
      <c r="D238" s="82"/>
    </row>
    <row r="239" spans="2:6" x14ac:dyDescent="0.3">
      <c r="D239" s="9">
        <f>ROUNDUP(D237/27,0)</f>
        <v>127</v>
      </c>
      <c r="E239" s="10" t="s">
        <v>62</v>
      </c>
      <c r="F239" s="10" t="s">
        <v>44</v>
      </c>
    </row>
    <row r="240" spans="2:6" x14ac:dyDescent="0.3">
      <c r="D240" s="82"/>
    </row>
    <row r="241" spans="1:15" x14ac:dyDescent="0.3">
      <c r="A241" s="21"/>
      <c r="B241" s="6">
        <f>B31</f>
        <v>511</v>
      </c>
      <c r="C241" s="6" t="str">
        <f>C31</f>
        <v>43512</v>
      </c>
      <c r="D241" s="11">
        <f>ROUNDUP(D268,0)</f>
        <v>146</v>
      </c>
      <c r="E241" s="6" t="str">
        <f>E31</f>
        <v>CY</v>
      </c>
      <c r="F241" s="177" t="str">
        <f>F31</f>
        <v>CLASS QC1 CONCRETE WITH QC/QA, ABUTMENT INCLUDING FOOTING</v>
      </c>
      <c r="G241" s="177"/>
      <c r="H241" s="177"/>
      <c r="I241" s="177"/>
      <c r="J241" s="177"/>
      <c r="K241" s="177"/>
      <c r="L241" s="177"/>
      <c r="M241" s="177"/>
      <c r="N241" s="177"/>
      <c r="O241" s="177"/>
    </row>
    <row r="242" spans="1:15" x14ac:dyDescent="0.3">
      <c r="D242" s="82"/>
      <c r="N242" s="28"/>
    </row>
    <row r="243" spans="1:15" x14ac:dyDescent="0.3">
      <c r="D243" s="82"/>
      <c r="N243" s="28"/>
    </row>
    <row r="244" spans="1:15" x14ac:dyDescent="0.3">
      <c r="C244" s="28" t="s">
        <v>182</v>
      </c>
      <c r="D244" s="80">
        <v>3.33</v>
      </c>
      <c r="E244" s="28" t="s">
        <v>34</v>
      </c>
      <c r="F244" s="28" t="s">
        <v>47</v>
      </c>
      <c r="H244" s="28" t="s">
        <v>186</v>
      </c>
      <c r="I244" s="80">
        <v>3.33</v>
      </c>
      <c r="J244" s="28" t="s">
        <v>34</v>
      </c>
      <c r="K244" s="28" t="s">
        <v>47</v>
      </c>
      <c r="N244" s="28"/>
    </row>
    <row r="245" spans="1:15" x14ac:dyDescent="0.3">
      <c r="D245" s="80">
        <v>75</v>
      </c>
      <c r="E245" s="28" t="s">
        <v>34</v>
      </c>
      <c r="F245" s="28" t="s">
        <v>46</v>
      </c>
      <c r="I245" s="80">
        <v>72</v>
      </c>
      <c r="J245" s="28" t="s">
        <v>34</v>
      </c>
      <c r="K245" s="28" t="s">
        <v>46</v>
      </c>
      <c r="N245" s="28"/>
    </row>
    <row r="246" spans="1:15" x14ac:dyDescent="0.3">
      <c r="D246" s="80">
        <v>3</v>
      </c>
      <c r="E246" s="28" t="s">
        <v>34</v>
      </c>
      <c r="F246" s="28" t="s">
        <v>118</v>
      </c>
      <c r="I246" s="80">
        <v>3</v>
      </c>
      <c r="J246" s="28" t="s">
        <v>34</v>
      </c>
      <c r="K246" s="28" t="s">
        <v>118</v>
      </c>
      <c r="N246" s="28"/>
    </row>
    <row r="247" spans="1:15" x14ac:dyDescent="0.3">
      <c r="D247" s="82">
        <f>D244*D246*D245</f>
        <v>749.25</v>
      </c>
      <c r="E247" s="28" t="s">
        <v>176</v>
      </c>
      <c r="F247" s="28" t="s">
        <v>76</v>
      </c>
      <c r="I247" s="82">
        <f>I244*I246*I245</f>
        <v>719.28</v>
      </c>
      <c r="J247" s="28" t="s">
        <v>176</v>
      </c>
      <c r="K247" s="28" t="s">
        <v>76</v>
      </c>
      <c r="N247" s="28"/>
    </row>
    <row r="248" spans="1:15" x14ac:dyDescent="0.3">
      <c r="D248" s="82"/>
      <c r="I248" s="82"/>
      <c r="N248" s="28"/>
    </row>
    <row r="249" spans="1:15" x14ac:dyDescent="0.3">
      <c r="C249" s="78" t="s">
        <v>183</v>
      </c>
      <c r="D249" s="80">
        <v>3.33</v>
      </c>
      <c r="E249" s="28" t="s">
        <v>34</v>
      </c>
      <c r="F249" s="28" t="s">
        <v>47</v>
      </c>
      <c r="H249" s="78" t="s">
        <v>187</v>
      </c>
      <c r="I249" s="80">
        <v>3.33</v>
      </c>
      <c r="J249" s="28" t="s">
        <v>34</v>
      </c>
      <c r="K249" s="28" t="s">
        <v>47</v>
      </c>
      <c r="N249" s="28"/>
    </row>
    <row r="250" spans="1:15" x14ac:dyDescent="0.3">
      <c r="D250" s="80">
        <v>39.125</v>
      </c>
      <c r="E250" s="28" t="s">
        <v>34</v>
      </c>
      <c r="F250" s="28" t="s">
        <v>46</v>
      </c>
      <c r="I250" s="80">
        <v>39.125</v>
      </c>
      <c r="J250" s="28" t="s">
        <v>34</v>
      </c>
      <c r="K250" s="28" t="s">
        <v>46</v>
      </c>
      <c r="N250" s="28"/>
    </row>
    <row r="251" spans="1:15" x14ac:dyDescent="0.3">
      <c r="D251" s="80">
        <v>4.5</v>
      </c>
      <c r="E251" s="28" t="s">
        <v>34</v>
      </c>
      <c r="F251" s="28" t="s">
        <v>118</v>
      </c>
      <c r="I251" s="80">
        <v>4.5</v>
      </c>
      <c r="J251" s="28" t="s">
        <v>34</v>
      </c>
      <c r="K251" s="28" t="s">
        <v>118</v>
      </c>
      <c r="N251" s="28"/>
    </row>
    <row r="252" spans="1:15" x14ac:dyDescent="0.3">
      <c r="D252" s="82">
        <f>D249*D251*D250</f>
        <v>586.28812499999992</v>
      </c>
      <c r="E252" s="28" t="s">
        <v>176</v>
      </c>
      <c r="F252" s="28" t="s">
        <v>76</v>
      </c>
      <c r="I252" s="82">
        <f>I249*I251*I250</f>
        <v>586.28812499999992</v>
      </c>
      <c r="J252" s="28" t="s">
        <v>176</v>
      </c>
      <c r="K252" s="28" t="s">
        <v>76</v>
      </c>
      <c r="N252" s="28"/>
    </row>
    <row r="253" spans="1:15" x14ac:dyDescent="0.3">
      <c r="D253" s="82"/>
      <c r="I253" s="82"/>
      <c r="N253" s="28"/>
    </row>
    <row r="254" spans="1:15" x14ac:dyDescent="0.3">
      <c r="C254" s="78" t="s">
        <v>184</v>
      </c>
      <c r="D254" s="80">
        <v>2.5</v>
      </c>
      <c r="E254" s="28" t="s">
        <v>34</v>
      </c>
      <c r="F254" s="28" t="s">
        <v>47</v>
      </c>
      <c r="H254" s="78" t="s">
        <v>188</v>
      </c>
      <c r="I254" s="80">
        <v>2.5</v>
      </c>
      <c r="J254" s="28" t="s">
        <v>34</v>
      </c>
      <c r="K254" s="28" t="s">
        <v>47</v>
      </c>
      <c r="N254" s="28"/>
    </row>
    <row r="255" spans="1:15" x14ac:dyDescent="0.3">
      <c r="D255" s="80">
        <v>17</v>
      </c>
      <c r="E255" s="28" t="s">
        <v>34</v>
      </c>
      <c r="F255" s="120" t="s">
        <v>229</v>
      </c>
      <c r="I255" s="80">
        <v>14</v>
      </c>
      <c r="J255" s="28" t="s">
        <v>34</v>
      </c>
      <c r="K255" s="120" t="s">
        <v>229</v>
      </c>
      <c r="N255" s="28"/>
    </row>
    <row r="256" spans="1:15" x14ac:dyDescent="0.3">
      <c r="D256" s="80">
        <v>14</v>
      </c>
      <c r="F256" s="120" t="s">
        <v>230</v>
      </c>
      <c r="I256" s="80">
        <v>14</v>
      </c>
      <c r="K256" s="120" t="s">
        <v>230</v>
      </c>
      <c r="N256" s="28"/>
    </row>
    <row r="257" spans="1:15" x14ac:dyDescent="0.3">
      <c r="D257" s="121">
        <v>2.25</v>
      </c>
      <c r="F257" s="120" t="s">
        <v>226</v>
      </c>
      <c r="I257" s="121">
        <v>2.25</v>
      </c>
      <c r="K257" s="120" t="s">
        <v>226</v>
      </c>
      <c r="N257" s="28"/>
    </row>
    <row r="258" spans="1:15" x14ac:dyDescent="0.3">
      <c r="D258" s="80">
        <v>11.25</v>
      </c>
      <c r="F258" s="120" t="s">
        <v>222</v>
      </c>
      <c r="I258" s="80">
        <v>10.61</v>
      </c>
      <c r="K258" s="120" t="s">
        <v>222</v>
      </c>
      <c r="N258" s="28"/>
    </row>
    <row r="259" spans="1:15" x14ac:dyDescent="0.3">
      <c r="D259" s="80">
        <v>3</v>
      </c>
      <c r="F259" s="120" t="s">
        <v>223</v>
      </c>
      <c r="I259" s="80">
        <v>3</v>
      </c>
      <c r="K259" s="120" t="s">
        <v>223</v>
      </c>
      <c r="N259" s="28"/>
    </row>
    <row r="260" spans="1:15" x14ac:dyDescent="0.3">
      <c r="D260" s="80">
        <v>10.62</v>
      </c>
      <c r="F260" s="120" t="s">
        <v>224</v>
      </c>
      <c r="I260" s="80">
        <v>11.25</v>
      </c>
      <c r="K260" s="120" t="s">
        <v>224</v>
      </c>
      <c r="N260" s="28"/>
    </row>
    <row r="261" spans="1:15" x14ac:dyDescent="0.3">
      <c r="D261" s="80">
        <v>3</v>
      </c>
      <c r="F261" s="120" t="s">
        <v>225</v>
      </c>
      <c r="I261" s="80">
        <v>3</v>
      </c>
      <c r="K261" s="120" t="s">
        <v>225</v>
      </c>
      <c r="N261" s="28"/>
    </row>
    <row r="262" spans="1:15" x14ac:dyDescent="0.3">
      <c r="D262" s="80">
        <f>((D257*D258)+(D259*D255)+(0.5*D255*(D258-D259)))*D254</f>
        <v>366.09375</v>
      </c>
      <c r="E262" s="120" t="s">
        <v>176</v>
      </c>
      <c r="F262" s="120" t="s">
        <v>227</v>
      </c>
      <c r="I262" s="80">
        <f>((I257*I258)+(I259*I255)+(0.5*I255*(I258-I259)))*I254</f>
        <v>297.85624999999999</v>
      </c>
      <c r="J262" s="120" t="s">
        <v>176</v>
      </c>
      <c r="K262" s="120" t="s">
        <v>227</v>
      </c>
      <c r="N262" s="28"/>
    </row>
    <row r="263" spans="1:15" x14ac:dyDescent="0.3">
      <c r="D263" s="80">
        <f>((D260*D257)+(D256*D261)+(0.5*D256*(D260-D261)))*D254</f>
        <v>298.08749999999998</v>
      </c>
      <c r="E263" s="120" t="s">
        <v>176</v>
      </c>
      <c r="F263" s="120" t="s">
        <v>228</v>
      </c>
      <c r="I263" s="80">
        <f>((I260*I257)+(I256*I261)+(0.5*I256*(I260-I261)))*I254</f>
        <v>312.65625</v>
      </c>
      <c r="J263" s="120" t="s">
        <v>176</v>
      </c>
      <c r="K263" s="120" t="s">
        <v>228</v>
      </c>
      <c r="N263" s="28"/>
    </row>
    <row r="264" spans="1:15" x14ac:dyDescent="0.3">
      <c r="D264" s="82">
        <f>D262+D263</f>
        <v>664.18124999999998</v>
      </c>
      <c r="E264" s="28" t="s">
        <v>176</v>
      </c>
      <c r="F264" s="28" t="s">
        <v>76</v>
      </c>
      <c r="I264" s="82">
        <f>I262+I263</f>
        <v>610.51250000000005</v>
      </c>
      <c r="J264" s="28" t="s">
        <v>176</v>
      </c>
      <c r="K264" s="28" t="s">
        <v>76</v>
      </c>
      <c r="N264" s="28"/>
    </row>
    <row r="265" spans="1:15" x14ac:dyDescent="0.3">
      <c r="D265" s="82"/>
      <c r="I265" s="82"/>
      <c r="N265" s="28"/>
    </row>
    <row r="266" spans="1:15" x14ac:dyDescent="0.3">
      <c r="D266" s="82">
        <f>D247+D252+D264</f>
        <v>1999.7193750000001</v>
      </c>
      <c r="F266" s="28" t="s">
        <v>185</v>
      </c>
      <c r="I266" s="82">
        <f>I247+I252+I264</f>
        <v>1916.0806249999998</v>
      </c>
      <c r="K266" s="28" t="s">
        <v>189</v>
      </c>
      <c r="N266" s="28"/>
    </row>
    <row r="267" spans="1:15" x14ac:dyDescent="0.3">
      <c r="D267" s="82"/>
      <c r="N267" s="28"/>
    </row>
    <row r="268" spans="1:15" x14ac:dyDescent="0.3">
      <c r="D268" s="9">
        <f>(D266+I266)/27</f>
        <v>145.02962962962962</v>
      </c>
      <c r="E268" s="10" t="s">
        <v>62</v>
      </c>
      <c r="F268" s="10" t="s">
        <v>67</v>
      </c>
      <c r="N268" s="28"/>
    </row>
    <row r="269" spans="1:15" x14ac:dyDescent="0.3">
      <c r="D269" s="82"/>
      <c r="N269" s="28"/>
    </row>
    <row r="270" spans="1:15" x14ac:dyDescent="0.3">
      <c r="A270" s="21"/>
      <c r="B270" s="6">
        <f>B33</f>
        <v>512</v>
      </c>
      <c r="C270" s="6">
        <f>C33</f>
        <v>10100</v>
      </c>
      <c r="D270" s="11">
        <f>ROUNDUP(D299,0)</f>
        <v>324</v>
      </c>
      <c r="E270" s="6" t="str">
        <f>E33</f>
        <v>SY</v>
      </c>
      <c r="F270" s="177" t="str">
        <f>F33</f>
        <v>SEALING OF CONCRETE SURFACES (EPOXY-URETHANE)</v>
      </c>
      <c r="G270" s="177"/>
      <c r="H270" s="177"/>
      <c r="I270" s="177"/>
      <c r="J270" s="177"/>
      <c r="K270" s="177"/>
      <c r="L270" s="177"/>
      <c r="M270" s="177"/>
      <c r="N270" s="177"/>
      <c r="O270" s="177"/>
    </row>
    <row r="271" spans="1:15" x14ac:dyDescent="0.3">
      <c r="D271" s="82"/>
    </row>
    <row r="272" spans="1:15" x14ac:dyDescent="0.3">
      <c r="B272" s="86"/>
      <c r="C272" s="78" t="s">
        <v>162</v>
      </c>
      <c r="D272" s="80">
        <v>9.8000000000000007</v>
      </c>
      <c r="E272" s="86" t="s">
        <v>34</v>
      </c>
      <c r="F272" s="98" t="s">
        <v>219</v>
      </c>
    </row>
    <row r="273" spans="2:14" x14ac:dyDescent="0.3">
      <c r="B273" s="86"/>
      <c r="C273" s="78"/>
      <c r="D273" s="80">
        <v>9.67</v>
      </c>
      <c r="E273" s="98" t="s">
        <v>34</v>
      </c>
      <c r="F273" s="98" t="s">
        <v>220</v>
      </c>
    </row>
    <row r="274" spans="2:14" x14ac:dyDescent="0.3">
      <c r="B274" s="33"/>
      <c r="C274" s="33"/>
      <c r="D274" s="82">
        <f>D60</f>
        <v>77.33</v>
      </c>
      <c r="E274" s="86" t="s">
        <v>34</v>
      </c>
      <c r="F274" s="86" t="s">
        <v>68</v>
      </c>
    </row>
    <row r="275" spans="2:14" x14ac:dyDescent="0.3">
      <c r="B275" s="33"/>
      <c r="C275" s="33"/>
      <c r="D275" s="82">
        <f>(D272+D273)*D274</f>
        <v>1505.6151</v>
      </c>
      <c r="E275" s="86" t="s">
        <v>66</v>
      </c>
      <c r="F275" s="86" t="s">
        <v>158</v>
      </c>
    </row>
    <row r="276" spans="2:14" x14ac:dyDescent="0.3">
      <c r="D276" s="82"/>
    </row>
    <row r="277" spans="2:14" x14ac:dyDescent="0.3">
      <c r="B277" s="86" t="s">
        <v>51</v>
      </c>
      <c r="D277" s="82"/>
      <c r="N277" s="28"/>
    </row>
    <row r="278" spans="2:14" x14ac:dyDescent="0.3">
      <c r="D278" s="82"/>
      <c r="N278" s="28"/>
    </row>
    <row r="279" spans="2:14" x14ac:dyDescent="0.3">
      <c r="C279" s="28" t="s">
        <v>122</v>
      </c>
      <c r="D279" s="80">
        <v>2.5</v>
      </c>
      <c r="E279" s="28" t="s">
        <v>34</v>
      </c>
      <c r="F279" s="28" t="s">
        <v>47</v>
      </c>
      <c r="N279" s="28"/>
    </row>
    <row r="280" spans="2:14" x14ac:dyDescent="0.3">
      <c r="D280" s="80">
        <v>14.75</v>
      </c>
      <c r="E280" s="28" t="s">
        <v>34</v>
      </c>
      <c r="F280" s="120" t="s">
        <v>231</v>
      </c>
      <c r="N280" s="28"/>
    </row>
    <row r="281" spans="2:14" x14ac:dyDescent="0.3">
      <c r="D281" s="80">
        <f>AVERAGE(D258,D260,I258,I260)</f>
        <v>10.932499999999999</v>
      </c>
      <c r="E281" s="28" t="s">
        <v>34</v>
      </c>
      <c r="F281" s="120" t="s">
        <v>232</v>
      </c>
      <c r="N281" s="28"/>
    </row>
    <row r="282" spans="2:14" x14ac:dyDescent="0.3">
      <c r="D282" s="80">
        <f>AVERAGE(D259,D261,I259,I261)</f>
        <v>3</v>
      </c>
      <c r="E282" s="28" t="s">
        <v>34</v>
      </c>
      <c r="F282" s="28" t="s">
        <v>120</v>
      </c>
      <c r="N282" s="28"/>
    </row>
    <row r="283" spans="2:14" x14ac:dyDescent="0.3">
      <c r="D283" s="82"/>
      <c r="N283" s="28"/>
    </row>
    <row r="284" spans="2:14" x14ac:dyDescent="0.3">
      <c r="D284" s="82">
        <f>D279*D282</f>
        <v>7.5</v>
      </c>
      <c r="E284" s="28" t="s">
        <v>66</v>
      </c>
      <c r="F284" s="28" t="s">
        <v>123</v>
      </c>
      <c r="N284" s="28"/>
    </row>
    <row r="285" spans="2:14" x14ac:dyDescent="0.3">
      <c r="D285" s="82">
        <f>0.5*(D281+D282)*D280</f>
        <v>102.75218749999999</v>
      </c>
      <c r="E285" s="28" t="s">
        <v>66</v>
      </c>
      <c r="F285" s="28" t="s">
        <v>124</v>
      </c>
      <c r="N285" s="28"/>
    </row>
    <row r="286" spans="2:14" x14ac:dyDescent="0.3">
      <c r="D286" s="82">
        <f>(D279+1)*D280</f>
        <v>51.625</v>
      </c>
      <c r="E286" s="28" t="s">
        <v>66</v>
      </c>
      <c r="F286" s="28" t="s">
        <v>125</v>
      </c>
      <c r="N286" s="28"/>
    </row>
    <row r="287" spans="2:14" x14ac:dyDescent="0.3">
      <c r="D287" s="82">
        <f>D284+D285+D286</f>
        <v>161.87718749999999</v>
      </c>
      <c r="E287" s="28" t="s">
        <v>66</v>
      </c>
      <c r="F287" s="28" t="s">
        <v>126</v>
      </c>
      <c r="N287" s="28"/>
    </row>
    <row r="288" spans="2:14" x14ac:dyDescent="0.3">
      <c r="D288" s="80">
        <v>2</v>
      </c>
      <c r="E288" s="28" t="s">
        <v>37</v>
      </c>
      <c r="F288" s="28" t="s">
        <v>121</v>
      </c>
      <c r="N288" s="28"/>
    </row>
    <row r="289" spans="1:15" x14ac:dyDescent="0.3">
      <c r="D289" s="80">
        <v>2</v>
      </c>
      <c r="E289" s="28" t="s">
        <v>37</v>
      </c>
      <c r="F289" s="28" t="s">
        <v>53</v>
      </c>
      <c r="N289" s="28"/>
    </row>
    <row r="290" spans="1:15" x14ac:dyDescent="0.3">
      <c r="D290" s="82">
        <f>D287*D288*D289</f>
        <v>647.50874999999996</v>
      </c>
      <c r="E290" s="28" t="s">
        <v>66</v>
      </c>
      <c r="F290" s="28" t="s">
        <v>129</v>
      </c>
      <c r="N290" s="28"/>
    </row>
    <row r="291" spans="1:15" x14ac:dyDescent="0.3">
      <c r="B291" s="33"/>
      <c r="C291" s="33"/>
      <c r="D291" s="82"/>
      <c r="E291" s="86"/>
      <c r="G291" s="86"/>
      <c r="H291" s="86"/>
      <c r="I291" s="86"/>
      <c r="J291" s="86"/>
      <c r="K291" s="86"/>
      <c r="L291" s="86"/>
      <c r="M291" s="86"/>
      <c r="N291" s="87"/>
      <c r="O291" s="86"/>
    </row>
    <row r="292" spans="1:15" x14ac:dyDescent="0.3">
      <c r="B292" s="86"/>
      <c r="C292" s="86" t="s">
        <v>149</v>
      </c>
      <c r="D292" s="82">
        <f>D61</f>
        <v>36.125</v>
      </c>
      <c r="E292" s="28" t="s">
        <v>34</v>
      </c>
      <c r="F292" s="28" t="s">
        <v>46</v>
      </c>
      <c r="G292" s="86"/>
      <c r="H292" s="86"/>
      <c r="I292" s="86"/>
      <c r="J292" s="86"/>
      <c r="K292" s="86"/>
      <c r="L292" s="86"/>
      <c r="M292" s="86"/>
      <c r="N292" s="87"/>
      <c r="O292" s="86"/>
    </row>
    <row r="293" spans="1:15" x14ac:dyDescent="0.3">
      <c r="B293" s="33"/>
      <c r="C293" s="33"/>
      <c r="D293" s="80">
        <v>1.5</v>
      </c>
      <c r="E293" s="28" t="s">
        <v>34</v>
      </c>
      <c r="F293" s="28" t="s">
        <v>118</v>
      </c>
      <c r="G293" s="86"/>
      <c r="H293" s="86"/>
      <c r="I293" s="86"/>
      <c r="J293" s="86"/>
      <c r="K293" s="86"/>
      <c r="L293" s="86"/>
      <c r="M293" s="86"/>
      <c r="N293" s="87"/>
      <c r="O293" s="86"/>
    </row>
    <row r="294" spans="1:15" x14ac:dyDescent="0.3">
      <c r="B294" s="33"/>
      <c r="C294" s="33"/>
      <c r="D294" s="82">
        <f>D292*D293*D289</f>
        <v>108.375</v>
      </c>
      <c r="E294" s="28" t="s">
        <v>66</v>
      </c>
      <c r="F294" s="28" t="s">
        <v>190</v>
      </c>
      <c r="G294" s="86"/>
      <c r="H294" s="86"/>
      <c r="I294" s="86"/>
      <c r="J294" s="86"/>
      <c r="K294" s="86"/>
      <c r="L294" s="86"/>
      <c r="M294" s="86"/>
      <c r="N294" s="87"/>
      <c r="O294" s="86"/>
    </row>
    <row r="295" spans="1:15" x14ac:dyDescent="0.3">
      <c r="B295" s="33"/>
      <c r="C295" s="33"/>
      <c r="D295" s="82"/>
      <c r="E295" s="86"/>
      <c r="G295" s="86"/>
      <c r="H295" s="86"/>
      <c r="I295" s="86"/>
      <c r="J295" s="86"/>
      <c r="K295" s="86"/>
      <c r="L295" s="86"/>
      <c r="M295" s="86"/>
      <c r="N295" s="87"/>
      <c r="O295" s="86"/>
    </row>
    <row r="296" spans="1:15" x14ac:dyDescent="0.3">
      <c r="B296" s="33"/>
      <c r="C296" s="33"/>
      <c r="D296" s="82">
        <f>D290+D294</f>
        <v>755.88374999999996</v>
      </c>
      <c r="E296" s="28" t="s">
        <v>66</v>
      </c>
      <c r="F296" s="28" t="s">
        <v>128</v>
      </c>
      <c r="G296" s="86"/>
      <c r="H296" s="86"/>
      <c r="I296" s="86"/>
      <c r="J296" s="86"/>
      <c r="K296" s="86"/>
      <c r="L296" s="86"/>
      <c r="M296" s="86"/>
      <c r="N296" s="87"/>
      <c r="O296" s="86"/>
    </row>
    <row r="297" spans="1:15" x14ac:dyDescent="0.3">
      <c r="B297" s="33"/>
      <c r="C297" s="33"/>
      <c r="D297" s="82"/>
      <c r="E297" s="86"/>
      <c r="G297" s="86"/>
      <c r="H297" s="86"/>
      <c r="I297" s="86"/>
      <c r="J297" s="86"/>
      <c r="K297" s="86"/>
      <c r="L297" s="86"/>
      <c r="M297" s="86"/>
      <c r="N297" s="87"/>
      <c r="O297" s="86"/>
    </row>
    <row r="298" spans="1:15" x14ac:dyDescent="0.3">
      <c r="B298" s="33"/>
      <c r="C298" s="33"/>
      <c r="D298" s="82">
        <f>D275+D296+D290</f>
        <v>2909.0075999999999</v>
      </c>
      <c r="E298" s="86" t="s">
        <v>66</v>
      </c>
      <c r="F298" s="28" t="s">
        <v>127</v>
      </c>
      <c r="G298" s="86"/>
      <c r="H298" s="86"/>
      <c r="I298" s="86"/>
      <c r="J298" s="86"/>
      <c r="K298" s="86"/>
      <c r="L298" s="86"/>
      <c r="M298" s="86"/>
      <c r="N298" s="87"/>
      <c r="O298" s="86"/>
    </row>
    <row r="299" spans="1:15" x14ac:dyDescent="0.3">
      <c r="D299" s="9">
        <f>ROUNDUP(D298/9,0)</f>
        <v>324</v>
      </c>
      <c r="E299" s="10" t="s">
        <v>69</v>
      </c>
      <c r="F299" s="10" t="s">
        <v>44</v>
      </c>
    </row>
    <row r="301" spans="1:15" x14ac:dyDescent="0.3">
      <c r="A301" s="21"/>
      <c r="B301" s="6">
        <f>B35</f>
        <v>515</v>
      </c>
      <c r="C301" s="6" t="str">
        <f>C35</f>
        <v>15010</v>
      </c>
      <c r="D301" s="8">
        <f>ROUNDUP(D304,0)</f>
        <v>5</v>
      </c>
      <c r="E301" s="6" t="str">
        <f>E35</f>
        <v>EACH</v>
      </c>
      <c r="F301" s="22" t="str">
        <f>F35</f>
        <v>DRAPED STRAND PRESTRESSED CONCRETE BRIDGE I-BEAM MEMBERS, LEVEL 3, TYPE 3 (LENGTH = 76'-4")</v>
      </c>
      <c r="G301" s="84"/>
      <c r="H301" s="84"/>
      <c r="I301" s="84"/>
      <c r="J301" s="84"/>
      <c r="K301" s="84"/>
      <c r="L301" s="84"/>
      <c r="M301" s="84"/>
      <c r="N301" s="85"/>
      <c r="O301" s="84"/>
    </row>
    <row r="302" spans="1:15" x14ac:dyDescent="0.3">
      <c r="D302" s="82">
        <f>D67</f>
        <v>5</v>
      </c>
      <c r="E302" s="28" t="s">
        <v>37</v>
      </c>
      <c r="F302" s="28" t="s">
        <v>96</v>
      </c>
    </row>
    <row r="303" spans="1:15" x14ac:dyDescent="0.3">
      <c r="D303" s="80">
        <v>1</v>
      </c>
      <c r="E303" s="28" t="s">
        <v>37</v>
      </c>
      <c r="F303" s="28" t="s">
        <v>103</v>
      </c>
    </row>
    <row r="304" spans="1:15" x14ac:dyDescent="0.3">
      <c r="D304" s="9">
        <f>D302*D303</f>
        <v>5</v>
      </c>
      <c r="E304" s="10" t="s">
        <v>37</v>
      </c>
      <c r="F304" s="10" t="s">
        <v>44</v>
      </c>
    </row>
    <row r="305" spans="1:15" x14ac:dyDescent="0.3">
      <c r="D305" s="9"/>
      <c r="E305" s="10"/>
      <c r="F305" s="10"/>
    </row>
    <row r="306" spans="1:15" x14ac:dyDescent="0.3">
      <c r="A306" s="21"/>
      <c r="B306" s="6">
        <f>B36</f>
        <v>515</v>
      </c>
      <c r="C306" s="7" t="str">
        <f>C36</f>
        <v>20000</v>
      </c>
      <c r="D306" s="8">
        <f>ROUNDUP(D311,0)</f>
        <v>4</v>
      </c>
      <c r="E306" s="6" t="str">
        <f>E36</f>
        <v>EACH</v>
      </c>
      <c r="F306" s="22" t="str">
        <f>F36</f>
        <v>INTERMEDIATE DIAPHRAGMS</v>
      </c>
      <c r="G306" s="84"/>
      <c r="H306" s="84"/>
      <c r="I306" s="84"/>
      <c r="J306" s="84"/>
      <c r="K306" s="84"/>
      <c r="L306" s="84"/>
      <c r="M306" s="84"/>
      <c r="N306" s="85"/>
      <c r="O306" s="84"/>
    </row>
    <row r="307" spans="1:15" x14ac:dyDescent="0.3">
      <c r="D307" s="82">
        <f>D303</f>
        <v>1</v>
      </c>
      <c r="E307" s="28" t="s">
        <v>37</v>
      </c>
      <c r="F307" s="28" t="s">
        <v>103</v>
      </c>
    </row>
    <row r="308" spans="1:15" x14ac:dyDescent="0.3">
      <c r="D308" s="82">
        <f>D302-1</f>
        <v>4</v>
      </c>
      <c r="E308" s="28" t="s">
        <v>37</v>
      </c>
      <c r="F308" s="28" t="s">
        <v>104</v>
      </c>
    </row>
    <row r="309" spans="1:15" x14ac:dyDescent="0.3">
      <c r="D309" s="80">
        <v>1</v>
      </c>
      <c r="E309" s="28" t="s">
        <v>37</v>
      </c>
      <c r="F309" s="28" t="s">
        <v>105</v>
      </c>
    </row>
    <row r="310" spans="1:15" x14ac:dyDescent="0.3">
      <c r="D310" s="82"/>
    </row>
    <row r="311" spans="1:15" x14ac:dyDescent="0.3">
      <c r="D311" s="9">
        <f>D307*D308*D309</f>
        <v>4</v>
      </c>
      <c r="E311" s="10" t="s">
        <v>37</v>
      </c>
      <c r="F311" s="10" t="s">
        <v>44</v>
      </c>
    </row>
    <row r="312" spans="1:15" x14ac:dyDescent="0.3">
      <c r="D312" s="9"/>
      <c r="E312" s="10"/>
      <c r="F312" s="10"/>
    </row>
    <row r="313" spans="1:15" x14ac:dyDescent="0.3">
      <c r="B313" s="6">
        <f>B38</f>
        <v>516</v>
      </c>
      <c r="C313" s="6" t="str">
        <f>C38</f>
        <v>13200</v>
      </c>
      <c r="D313" s="8">
        <f>ROUNDUP(D317,0)</f>
        <v>79</v>
      </c>
      <c r="E313" s="6" t="str">
        <f>E38</f>
        <v>SF</v>
      </c>
      <c r="F313" s="22" t="str">
        <f>F38</f>
        <v>1/2" PREFORMED EXPANSION JOINT FILLER</v>
      </c>
      <c r="G313" s="84"/>
      <c r="H313" s="84"/>
      <c r="I313" s="84"/>
      <c r="J313" s="84"/>
      <c r="K313" s="84"/>
      <c r="L313" s="84"/>
      <c r="M313" s="84"/>
      <c r="N313" s="85"/>
      <c r="O313" s="84"/>
    </row>
    <row r="314" spans="1:15" x14ac:dyDescent="0.3">
      <c r="D314" s="82">
        <f>D333</f>
        <v>39.457999999999998</v>
      </c>
      <c r="E314" s="128" t="s">
        <v>34</v>
      </c>
      <c r="F314" s="128" t="s">
        <v>254</v>
      </c>
    </row>
    <row r="315" spans="1:15" x14ac:dyDescent="0.3">
      <c r="D315" s="80">
        <v>1</v>
      </c>
      <c r="E315" s="128" t="s">
        <v>34</v>
      </c>
      <c r="F315" s="128" t="s">
        <v>118</v>
      </c>
    </row>
    <row r="316" spans="1:15" x14ac:dyDescent="0.3">
      <c r="D316" s="80">
        <v>2</v>
      </c>
      <c r="E316" s="28" t="s">
        <v>37</v>
      </c>
      <c r="F316" s="128" t="s">
        <v>99</v>
      </c>
    </row>
    <row r="317" spans="1:15" x14ac:dyDescent="0.3">
      <c r="D317" s="9">
        <f>D314*D315*D316</f>
        <v>78.915999999999997</v>
      </c>
      <c r="E317" s="10" t="s">
        <v>255</v>
      </c>
      <c r="F317" s="10"/>
    </row>
    <row r="318" spans="1:15" x14ac:dyDescent="0.3">
      <c r="D318" s="9"/>
      <c r="E318" s="10"/>
      <c r="F318" s="10"/>
    </row>
    <row r="319" spans="1:15" x14ac:dyDescent="0.3">
      <c r="B319" s="6">
        <f>B39</f>
        <v>516</v>
      </c>
      <c r="C319" s="6" t="str">
        <f>C39</f>
        <v>13600</v>
      </c>
      <c r="D319" s="8">
        <f>ROUNDUP(D323,0)</f>
        <v>79</v>
      </c>
      <c r="E319" s="6" t="str">
        <f>E39</f>
        <v>SF</v>
      </c>
      <c r="F319" s="22" t="str">
        <f>F39</f>
        <v>1" PREFORMED EXPANSION JOINT FILLER</v>
      </c>
      <c r="G319" s="84"/>
      <c r="H319" s="84"/>
      <c r="I319" s="84"/>
      <c r="J319" s="84"/>
      <c r="K319" s="84"/>
      <c r="L319" s="84"/>
      <c r="M319" s="84"/>
      <c r="N319" s="85"/>
      <c r="O319" s="84"/>
    </row>
    <row r="320" spans="1:15" x14ac:dyDescent="0.3">
      <c r="D320" s="82">
        <f>D333</f>
        <v>39.457999999999998</v>
      </c>
      <c r="E320" s="128" t="s">
        <v>34</v>
      </c>
      <c r="F320" s="128" t="s">
        <v>254</v>
      </c>
    </row>
    <row r="321" spans="1:15" x14ac:dyDescent="0.3">
      <c r="D321" s="80">
        <v>1</v>
      </c>
      <c r="E321" s="128" t="s">
        <v>34</v>
      </c>
      <c r="F321" s="128" t="s">
        <v>118</v>
      </c>
    </row>
    <row r="322" spans="1:15" x14ac:dyDescent="0.3">
      <c r="D322" s="80">
        <v>2</v>
      </c>
      <c r="E322" s="28" t="s">
        <v>37</v>
      </c>
      <c r="F322" s="128" t="s">
        <v>99</v>
      </c>
    </row>
    <row r="323" spans="1:15" x14ac:dyDescent="0.3">
      <c r="D323" s="9">
        <f>D320*D321*D322</f>
        <v>78.915999999999997</v>
      </c>
      <c r="E323" s="10" t="s">
        <v>255</v>
      </c>
      <c r="F323" s="10"/>
    </row>
    <row r="324" spans="1:15" x14ac:dyDescent="0.3">
      <c r="D324" s="9"/>
      <c r="E324" s="10"/>
      <c r="F324" s="10"/>
    </row>
    <row r="325" spans="1:15" x14ac:dyDescent="0.3">
      <c r="B325" s="6">
        <f>B40</f>
        <v>516</v>
      </c>
      <c r="C325" s="7" t="str">
        <f>C40</f>
        <v>13900</v>
      </c>
      <c r="D325" s="8">
        <f>ROUNDUP(D330,0)</f>
        <v>65</v>
      </c>
      <c r="E325" s="6" t="str">
        <f>E40</f>
        <v>SF</v>
      </c>
      <c r="F325" s="22" t="str">
        <f>F40</f>
        <v>2" PREFORMED EXPANSION JOINT FILLER</v>
      </c>
      <c r="G325" s="84"/>
      <c r="H325" s="84"/>
      <c r="I325" s="84"/>
      <c r="J325" s="84"/>
      <c r="K325" s="84"/>
      <c r="L325" s="84"/>
      <c r="M325" s="84"/>
      <c r="N325" s="85"/>
      <c r="O325" s="84"/>
    </row>
    <row r="326" spans="1:15" x14ac:dyDescent="0.3">
      <c r="D326" s="82">
        <f>D336</f>
        <v>6.44</v>
      </c>
      <c r="E326" s="128" t="s">
        <v>34</v>
      </c>
      <c r="F326" s="128" t="s">
        <v>256</v>
      </c>
    </row>
    <row r="327" spans="1:15" x14ac:dyDescent="0.3">
      <c r="D327" s="80">
        <v>2.5</v>
      </c>
      <c r="E327" s="128" t="s">
        <v>34</v>
      </c>
      <c r="F327" s="128" t="s">
        <v>257</v>
      </c>
    </row>
    <row r="328" spans="1:15" x14ac:dyDescent="0.3">
      <c r="D328" s="80">
        <v>2</v>
      </c>
      <c r="E328" s="130" t="s">
        <v>37</v>
      </c>
      <c r="F328" s="130" t="s">
        <v>260</v>
      </c>
    </row>
    <row r="329" spans="1:15" x14ac:dyDescent="0.3">
      <c r="D329" s="80">
        <v>2</v>
      </c>
      <c r="E329" s="28" t="s">
        <v>37</v>
      </c>
      <c r="F329" s="128" t="s">
        <v>99</v>
      </c>
    </row>
    <row r="330" spans="1:15" x14ac:dyDescent="0.3">
      <c r="D330" s="9">
        <f>D326*D327*D329*D328</f>
        <v>64.400000000000006</v>
      </c>
      <c r="E330" s="10" t="s">
        <v>255</v>
      </c>
      <c r="F330" s="10"/>
    </row>
    <row r="331" spans="1:15" x14ac:dyDescent="0.3">
      <c r="D331" s="9"/>
      <c r="E331" s="10"/>
      <c r="F331" s="10"/>
    </row>
    <row r="332" spans="1:15" x14ac:dyDescent="0.3">
      <c r="A332" s="86"/>
      <c r="B332" s="6">
        <f>B41</f>
        <v>516</v>
      </c>
      <c r="C332" s="7" t="str">
        <f>C41</f>
        <v>14014</v>
      </c>
      <c r="D332" s="8">
        <f>D339</f>
        <v>104.676</v>
      </c>
      <c r="E332" s="7" t="str">
        <f>E41</f>
        <v>FT</v>
      </c>
      <c r="F332" s="17" t="str">
        <f>F41</f>
        <v>INTEGRAL ABUTMENT EXPANSION JOINT SEAL</v>
      </c>
      <c r="G332" s="84"/>
      <c r="H332" s="84"/>
      <c r="I332" s="84"/>
      <c r="J332" s="84"/>
      <c r="K332" s="84"/>
      <c r="L332" s="84"/>
      <c r="M332" s="84"/>
      <c r="N332" s="85"/>
      <c r="O332" s="84"/>
    </row>
    <row r="333" spans="1:15" x14ac:dyDescent="0.3">
      <c r="B333" s="33"/>
      <c r="C333" s="33"/>
      <c r="D333" s="80">
        <v>39.457999999999998</v>
      </c>
      <c r="E333" s="28" t="s">
        <v>34</v>
      </c>
      <c r="F333" s="28" t="s">
        <v>191</v>
      </c>
      <c r="G333" s="86"/>
      <c r="H333" s="86"/>
      <c r="I333" s="86"/>
      <c r="J333" s="86"/>
      <c r="K333" s="86"/>
      <c r="L333" s="86"/>
      <c r="M333" s="86"/>
      <c r="N333" s="87"/>
      <c r="O333" s="86"/>
    </row>
    <row r="334" spans="1:15" x14ac:dyDescent="0.3">
      <c r="B334" s="33"/>
      <c r="C334" s="33"/>
      <c r="D334" s="80">
        <f>D63</f>
        <v>0</v>
      </c>
      <c r="E334" s="28" t="s">
        <v>73</v>
      </c>
      <c r="F334" s="28" t="s">
        <v>74</v>
      </c>
      <c r="G334" s="86"/>
      <c r="H334" s="86"/>
      <c r="I334" s="86"/>
      <c r="J334" s="86"/>
      <c r="K334" s="86"/>
      <c r="L334" s="86"/>
      <c r="M334" s="86"/>
      <c r="N334" s="87"/>
      <c r="O334" s="86"/>
    </row>
    <row r="335" spans="1:15" x14ac:dyDescent="0.3">
      <c r="D335" s="80">
        <f>D333/COS(D334*PI()/180)</f>
        <v>39.457999999999998</v>
      </c>
      <c r="E335" s="28" t="s">
        <v>34</v>
      </c>
      <c r="F335" s="28" t="s">
        <v>75</v>
      </c>
    </row>
    <row r="336" spans="1:15" x14ac:dyDescent="0.3">
      <c r="D336" s="80">
        <v>6.44</v>
      </c>
      <c r="E336" s="28" t="s">
        <v>34</v>
      </c>
      <c r="F336" s="28" t="s">
        <v>192</v>
      </c>
    </row>
    <row r="337" spans="1:15" x14ac:dyDescent="0.3">
      <c r="D337" s="80">
        <v>2</v>
      </c>
      <c r="E337" s="28" t="s">
        <v>37</v>
      </c>
      <c r="F337" s="28" t="s">
        <v>193</v>
      </c>
    </row>
    <row r="338" spans="1:15" x14ac:dyDescent="0.3">
      <c r="D338" s="80">
        <v>2</v>
      </c>
      <c r="E338" s="28" t="s">
        <v>37</v>
      </c>
      <c r="F338" s="28" t="s">
        <v>169</v>
      </c>
    </row>
    <row r="339" spans="1:15" x14ac:dyDescent="0.3">
      <c r="D339" s="9">
        <f>D333*2+D336*D337*D338</f>
        <v>104.676</v>
      </c>
      <c r="E339" s="10" t="s">
        <v>23</v>
      </c>
      <c r="F339" s="10" t="s">
        <v>44</v>
      </c>
    </row>
    <row r="341" spans="1:15" x14ac:dyDescent="0.3">
      <c r="A341" s="86"/>
      <c r="B341" s="6">
        <f>B42</f>
        <v>516</v>
      </c>
      <c r="C341" s="6" t="str">
        <f>C42</f>
        <v>44001</v>
      </c>
      <c r="D341" s="8">
        <f>D345</f>
        <v>10</v>
      </c>
      <c r="E341" s="6" t="str">
        <f>E42</f>
        <v>EACH</v>
      </c>
      <c r="F341" s="22" t="str">
        <f>F42</f>
        <v>1'-4" x 10" x 1 7/8" ELASTOMERIC BEARING WITH INTERNAL LAMINATES AND LOAD PLATE 1'-5" x 11" x 1 1/2" (NEOPRENE), AS PER PLAN</v>
      </c>
      <c r="G341" s="84"/>
      <c r="H341" s="84"/>
      <c r="I341" s="84"/>
      <c r="J341" s="84"/>
      <c r="K341" s="84"/>
      <c r="L341" s="84"/>
      <c r="M341" s="84"/>
      <c r="N341" s="85"/>
      <c r="O341" s="84"/>
    </row>
    <row r="342" spans="1:15" x14ac:dyDescent="0.3">
      <c r="D342" s="82">
        <f>D302</f>
        <v>5</v>
      </c>
      <c r="E342" s="28" t="s">
        <v>37</v>
      </c>
      <c r="F342" s="28" t="s">
        <v>96</v>
      </c>
    </row>
    <row r="343" spans="1:15" x14ac:dyDescent="0.3">
      <c r="D343" s="80">
        <v>1</v>
      </c>
      <c r="E343" s="28" t="s">
        <v>37</v>
      </c>
      <c r="F343" s="28" t="s">
        <v>103</v>
      </c>
    </row>
    <row r="344" spans="1:15" x14ac:dyDescent="0.3">
      <c r="D344" s="80">
        <v>2</v>
      </c>
      <c r="E344" s="28" t="s">
        <v>37</v>
      </c>
      <c r="F344" s="28" t="s">
        <v>107</v>
      </c>
    </row>
    <row r="345" spans="1:15" x14ac:dyDescent="0.3">
      <c r="D345" s="9">
        <f>D342*D343*D344</f>
        <v>10</v>
      </c>
      <c r="E345" s="10" t="s">
        <v>37</v>
      </c>
      <c r="F345" s="10" t="s">
        <v>44</v>
      </c>
    </row>
    <row r="347" spans="1:15" x14ac:dyDescent="0.3">
      <c r="A347" s="86"/>
      <c r="B347" s="6">
        <f>B44</f>
        <v>517</v>
      </c>
      <c r="C347" s="6" t="str">
        <f>C44</f>
        <v>70100</v>
      </c>
      <c r="D347" s="8">
        <f>D349</f>
        <v>171</v>
      </c>
      <c r="E347" s="6" t="str">
        <f>E44</f>
        <v>FT</v>
      </c>
      <c r="F347" s="22" t="str">
        <f>F44</f>
        <v>RAILING (THREE STEEL TUBE BRIDGE RAILING)</v>
      </c>
      <c r="G347" s="84"/>
      <c r="H347" s="84"/>
      <c r="I347" s="84"/>
      <c r="J347" s="84"/>
      <c r="K347" s="84"/>
      <c r="L347" s="84"/>
      <c r="M347" s="84"/>
      <c r="N347" s="85"/>
      <c r="O347" s="84"/>
    </row>
    <row r="348" spans="1:15" x14ac:dyDescent="0.3">
      <c r="D348" s="28"/>
    </row>
    <row r="349" spans="1:15" x14ac:dyDescent="0.3">
      <c r="D349" s="9">
        <v>171</v>
      </c>
      <c r="E349" s="10" t="s">
        <v>34</v>
      </c>
      <c r="F349" s="10" t="s">
        <v>44</v>
      </c>
    </row>
    <row r="351" spans="1:15" x14ac:dyDescent="0.3">
      <c r="A351" s="86"/>
      <c r="B351" s="6">
        <f>B46</f>
        <v>518</v>
      </c>
      <c r="C351" s="6" t="str">
        <f>C46</f>
        <v>21201</v>
      </c>
      <c r="D351" s="8">
        <f>D370</f>
        <v>462</v>
      </c>
      <c r="E351" s="6" t="str">
        <f>E46</f>
        <v>CY</v>
      </c>
      <c r="F351" s="22" t="str">
        <f>F46</f>
        <v>POROUS BACKFILL WITH GEOTEXTILE FABRIC, AS PER PLAN</v>
      </c>
      <c r="G351" s="84"/>
      <c r="H351" s="84"/>
      <c r="I351" s="84"/>
      <c r="J351" s="84"/>
      <c r="K351" s="84"/>
      <c r="L351" s="84"/>
      <c r="M351" s="84"/>
      <c r="N351" s="85"/>
      <c r="O351" s="84"/>
    </row>
    <row r="352" spans="1:15" x14ac:dyDescent="0.3">
      <c r="C352" s="28" t="s">
        <v>134</v>
      </c>
      <c r="D352" s="80">
        <v>14.25</v>
      </c>
      <c r="E352" s="28" t="s">
        <v>34</v>
      </c>
      <c r="F352" s="28" t="s">
        <v>196</v>
      </c>
    </row>
    <row r="353" spans="3:6" x14ac:dyDescent="0.3">
      <c r="D353" s="82">
        <f>13/12</f>
        <v>1.0833333333333333</v>
      </c>
      <c r="E353" s="28" t="s">
        <v>34</v>
      </c>
      <c r="F353" s="28" t="s">
        <v>130</v>
      </c>
    </row>
    <row r="354" spans="3:6" x14ac:dyDescent="0.3">
      <c r="D354" s="82">
        <f>D352-D353</f>
        <v>13.166666666666666</v>
      </c>
      <c r="E354" s="28" t="s">
        <v>34</v>
      </c>
      <c r="F354" s="28" t="s">
        <v>131</v>
      </c>
    </row>
    <row r="355" spans="3:6" x14ac:dyDescent="0.3">
      <c r="D355" s="82">
        <v>43.33</v>
      </c>
      <c r="E355" s="28" t="s">
        <v>34</v>
      </c>
      <c r="F355" s="28" t="s">
        <v>197</v>
      </c>
    </row>
    <row r="356" spans="3:6" x14ac:dyDescent="0.3">
      <c r="D356" s="80">
        <v>7.17</v>
      </c>
      <c r="E356" s="28" t="s">
        <v>34</v>
      </c>
      <c r="F356" s="28" t="s">
        <v>132</v>
      </c>
    </row>
    <row r="357" spans="3:6" x14ac:dyDescent="0.3">
      <c r="D357" s="82">
        <f>D354*D356*D355</f>
        <v>4090.5686499999997</v>
      </c>
      <c r="E357" s="28" t="s">
        <v>41</v>
      </c>
      <c r="F357" s="28" t="s">
        <v>133</v>
      </c>
    </row>
    <row r="358" spans="3:6" x14ac:dyDescent="0.3">
      <c r="D358" s="82"/>
    </row>
    <row r="359" spans="3:6" x14ac:dyDescent="0.3">
      <c r="C359" s="28" t="s">
        <v>122</v>
      </c>
      <c r="D359" s="80">
        <v>14.25</v>
      </c>
      <c r="E359" s="28" t="s">
        <v>34</v>
      </c>
      <c r="F359" s="28" t="s">
        <v>119</v>
      </c>
    </row>
    <row r="360" spans="3:6" x14ac:dyDescent="0.3">
      <c r="D360" s="80">
        <v>6</v>
      </c>
      <c r="E360" s="28" t="s">
        <v>34</v>
      </c>
      <c r="F360" s="28" t="s">
        <v>120</v>
      </c>
    </row>
    <row r="361" spans="3:6" x14ac:dyDescent="0.3">
      <c r="D361" s="82">
        <f>D280</f>
        <v>14.75</v>
      </c>
      <c r="E361" s="28" t="s">
        <v>34</v>
      </c>
      <c r="F361" s="28" t="s">
        <v>135</v>
      </c>
    </row>
    <row r="362" spans="3:6" x14ac:dyDescent="0.3">
      <c r="D362" s="82">
        <f>0.5*(D359+D360)*D361*D356</f>
        <v>1070.7946875</v>
      </c>
      <c r="E362" s="28" t="s">
        <v>41</v>
      </c>
      <c r="F362" s="28" t="s">
        <v>136</v>
      </c>
    </row>
    <row r="363" spans="3:6" x14ac:dyDescent="0.3">
      <c r="D363" s="80">
        <v>2</v>
      </c>
      <c r="E363" s="28" t="s">
        <v>37</v>
      </c>
      <c r="F363" s="28" t="s">
        <v>137</v>
      </c>
    </row>
    <row r="364" spans="3:6" x14ac:dyDescent="0.3">
      <c r="D364" s="82">
        <f>D362*D363</f>
        <v>2141.589375</v>
      </c>
      <c r="E364" s="28" t="s">
        <v>41</v>
      </c>
      <c r="F364" s="28" t="s">
        <v>138</v>
      </c>
    </row>
    <row r="365" spans="3:6" x14ac:dyDescent="0.3">
      <c r="D365" s="82"/>
    </row>
    <row r="366" spans="3:6" x14ac:dyDescent="0.3">
      <c r="D366" s="82">
        <f>D357+D364</f>
        <v>6232.1580249999997</v>
      </c>
      <c r="E366" s="28" t="s">
        <v>41</v>
      </c>
      <c r="F366" s="28" t="s">
        <v>139</v>
      </c>
    </row>
    <row r="367" spans="3:6" x14ac:dyDescent="0.3">
      <c r="D367" s="80">
        <v>2</v>
      </c>
      <c r="E367" s="28" t="s">
        <v>37</v>
      </c>
      <c r="F367" s="28" t="s">
        <v>53</v>
      </c>
    </row>
    <row r="368" spans="3:6" x14ac:dyDescent="0.3">
      <c r="D368" s="82"/>
    </row>
    <row r="369" spans="1:15" x14ac:dyDescent="0.3">
      <c r="D369" s="82">
        <f>D366*D367</f>
        <v>12464.316049999999</v>
      </c>
      <c r="E369" s="28" t="s">
        <v>41</v>
      </c>
      <c r="F369" s="28" t="s">
        <v>44</v>
      </c>
    </row>
    <row r="370" spans="1:15" x14ac:dyDescent="0.3">
      <c r="D370" s="9">
        <f>ROUNDUP(D369/27,0)</f>
        <v>462</v>
      </c>
      <c r="E370" s="10" t="s">
        <v>34</v>
      </c>
      <c r="F370" s="10" t="s">
        <v>44</v>
      </c>
    </row>
    <row r="372" spans="1:15" x14ac:dyDescent="0.3">
      <c r="A372" s="86"/>
      <c r="B372" s="6">
        <f>B47</f>
        <v>518</v>
      </c>
      <c r="C372" s="6" t="str">
        <f>C47</f>
        <v>40000</v>
      </c>
      <c r="D372" s="8">
        <f>D375</f>
        <v>147</v>
      </c>
      <c r="E372" s="6" t="str">
        <f>E47</f>
        <v>FT</v>
      </c>
      <c r="F372" s="22" t="str">
        <f>F47</f>
        <v>6" PERFORATED CORRUGATED PLASTIC PIPE</v>
      </c>
      <c r="G372" s="84"/>
      <c r="H372" s="84"/>
      <c r="I372" s="84"/>
      <c r="J372" s="84"/>
      <c r="K372" s="84"/>
      <c r="L372" s="84"/>
      <c r="M372" s="84"/>
      <c r="N372" s="85"/>
      <c r="O372" s="84"/>
    </row>
    <row r="373" spans="1:15" x14ac:dyDescent="0.3">
      <c r="D373" s="82">
        <v>75</v>
      </c>
      <c r="E373" s="28" t="s">
        <v>34</v>
      </c>
      <c r="F373" s="28" t="s">
        <v>198</v>
      </c>
    </row>
    <row r="374" spans="1:15" x14ac:dyDescent="0.3">
      <c r="D374" s="82">
        <v>72</v>
      </c>
      <c r="E374" s="28" t="s">
        <v>34</v>
      </c>
      <c r="F374" s="28" t="s">
        <v>199</v>
      </c>
    </row>
    <row r="375" spans="1:15" x14ac:dyDescent="0.3">
      <c r="D375" s="9">
        <f>D373+D374</f>
        <v>147</v>
      </c>
      <c r="E375" s="10" t="s">
        <v>34</v>
      </c>
      <c r="F375" s="10" t="s">
        <v>44</v>
      </c>
    </row>
    <row r="377" spans="1:15" x14ac:dyDescent="0.3">
      <c r="A377" s="86"/>
      <c r="B377" s="6">
        <f>B48</f>
        <v>518</v>
      </c>
      <c r="C377" s="7" t="str">
        <f>C48</f>
        <v>40010</v>
      </c>
      <c r="D377" s="8">
        <f>D381</f>
        <v>60</v>
      </c>
      <c r="E377" s="6" t="str">
        <f>E47</f>
        <v>FT</v>
      </c>
      <c r="F377" s="22" t="str">
        <f>F48</f>
        <v>6" NON-PERFORATED CORRUGATED PLASTIC PIPE, INCLUDING SPECIALS</v>
      </c>
      <c r="G377" s="84"/>
      <c r="H377" s="84"/>
      <c r="I377" s="84"/>
      <c r="J377" s="84"/>
      <c r="K377" s="84"/>
      <c r="L377" s="84"/>
      <c r="M377" s="84"/>
      <c r="N377" s="85"/>
      <c r="O377" s="84"/>
    </row>
    <row r="378" spans="1:15" x14ac:dyDescent="0.3">
      <c r="D378" s="82">
        <v>15</v>
      </c>
      <c r="E378" s="28" t="s">
        <v>34</v>
      </c>
      <c r="F378" s="28" t="s">
        <v>108</v>
      </c>
    </row>
    <row r="379" spans="1:15" x14ac:dyDescent="0.3">
      <c r="D379" s="80">
        <v>2</v>
      </c>
      <c r="E379" s="28" t="s">
        <v>37</v>
      </c>
      <c r="F379" s="28" t="s">
        <v>60</v>
      </c>
    </row>
    <row r="380" spans="1:15" x14ac:dyDescent="0.3">
      <c r="D380" s="80">
        <v>2</v>
      </c>
      <c r="E380" s="28" t="s">
        <v>37</v>
      </c>
      <c r="F380" s="28" t="s">
        <v>99</v>
      </c>
    </row>
    <row r="381" spans="1:15" x14ac:dyDescent="0.3">
      <c r="D381" s="9">
        <f>ROUNDUP(D378*D380*D379,0)</f>
        <v>60</v>
      </c>
      <c r="E381" s="10" t="s">
        <v>34</v>
      </c>
      <c r="F381" s="10" t="s">
        <v>44</v>
      </c>
    </row>
    <row r="383" spans="1:15" x14ac:dyDescent="0.3">
      <c r="A383" s="86"/>
      <c r="B383" s="6">
        <f>B50</f>
        <v>526</v>
      </c>
      <c r="C383" s="6" t="str">
        <f>C50</f>
        <v>15010</v>
      </c>
      <c r="D383" s="8">
        <f>D388</f>
        <v>160</v>
      </c>
      <c r="E383" s="6" t="str">
        <f>E50</f>
        <v>SY</v>
      </c>
      <c r="F383" s="22" t="str">
        <f>F50</f>
        <v>REINFORCED CONCRETE APPROACH SLABS WITH QC/QA (T=13")</v>
      </c>
      <c r="G383" s="84"/>
      <c r="H383" s="84"/>
      <c r="I383" s="84"/>
      <c r="J383" s="84"/>
      <c r="K383" s="84"/>
      <c r="L383" s="84"/>
      <c r="M383" s="84"/>
      <c r="N383" s="85"/>
      <c r="O383" s="84"/>
    </row>
    <row r="384" spans="1:15" x14ac:dyDescent="0.3">
      <c r="D384" s="82">
        <v>36</v>
      </c>
      <c r="E384" s="28" t="s">
        <v>34</v>
      </c>
      <c r="F384" s="28" t="s">
        <v>70</v>
      </c>
    </row>
    <row r="385" spans="1:15" x14ac:dyDescent="0.3">
      <c r="D385" s="82">
        <f>D82</f>
        <v>20</v>
      </c>
      <c r="E385" s="28" t="s">
        <v>34</v>
      </c>
      <c r="F385" s="28" t="s">
        <v>64</v>
      </c>
    </row>
    <row r="386" spans="1:15" x14ac:dyDescent="0.3">
      <c r="D386" s="80">
        <v>2</v>
      </c>
      <c r="E386" s="28" t="s">
        <v>37</v>
      </c>
      <c r="F386" s="28" t="s">
        <v>71</v>
      </c>
    </row>
    <row r="387" spans="1:15" x14ac:dyDescent="0.3">
      <c r="D387" s="82">
        <f>D384*D385*D386</f>
        <v>1440</v>
      </c>
      <c r="E387" s="28" t="s">
        <v>66</v>
      </c>
      <c r="F387" s="28" t="s">
        <v>44</v>
      </c>
    </row>
    <row r="388" spans="1:15" x14ac:dyDescent="0.3">
      <c r="D388" s="9">
        <f>ROUNDUP(D387/9,0)</f>
        <v>160</v>
      </c>
      <c r="E388" s="10" t="s">
        <v>69</v>
      </c>
      <c r="F388" s="10" t="s">
        <v>44</v>
      </c>
    </row>
    <row r="390" spans="1:15" x14ac:dyDescent="0.3">
      <c r="A390" s="86"/>
      <c r="B390" s="6">
        <f>B51</f>
        <v>526</v>
      </c>
      <c r="C390" s="6">
        <f>C51</f>
        <v>90010</v>
      </c>
      <c r="D390" s="11">
        <f>ROUNDUP(D395,0)</f>
        <v>73</v>
      </c>
      <c r="E390" s="6" t="str">
        <f>E51</f>
        <v>FT</v>
      </c>
      <c r="F390" s="22" t="str">
        <f>F51</f>
        <v>TYPE A INSTALLATION</v>
      </c>
      <c r="G390" s="22"/>
      <c r="H390" s="88"/>
      <c r="I390" s="88"/>
      <c r="J390" s="88"/>
      <c r="K390" s="88"/>
      <c r="L390" s="88"/>
      <c r="M390" s="88"/>
      <c r="N390" s="89"/>
      <c r="O390" s="88"/>
    </row>
    <row r="391" spans="1:15" x14ac:dyDescent="0.3">
      <c r="B391" s="33"/>
      <c r="C391" s="33"/>
      <c r="D391" s="82">
        <f>D61</f>
        <v>36.125</v>
      </c>
      <c r="E391" s="28" t="s">
        <v>34</v>
      </c>
      <c r="F391" s="28" t="s">
        <v>72</v>
      </c>
      <c r="G391" s="86"/>
      <c r="H391" s="86"/>
      <c r="I391" s="86"/>
      <c r="J391" s="86"/>
      <c r="K391" s="86"/>
      <c r="L391" s="86"/>
      <c r="M391" s="86"/>
      <c r="N391" s="87"/>
      <c r="O391" s="86"/>
    </row>
    <row r="392" spans="1:15" x14ac:dyDescent="0.3">
      <c r="B392" s="33"/>
      <c r="C392" s="33"/>
      <c r="D392" s="82">
        <f>D63</f>
        <v>0</v>
      </c>
      <c r="E392" s="28" t="s">
        <v>73</v>
      </c>
      <c r="F392" s="28" t="s">
        <v>74</v>
      </c>
      <c r="G392" s="86"/>
      <c r="H392" s="86"/>
      <c r="I392" s="86"/>
      <c r="J392" s="86"/>
      <c r="K392" s="86"/>
      <c r="L392" s="86"/>
      <c r="M392" s="86"/>
      <c r="N392" s="87"/>
      <c r="O392" s="86"/>
    </row>
    <row r="393" spans="1:15" x14ac:dyDescent="0.3">
      <c r="D393" s="82">
        <f>D391/COS(D392*PI()/180)</f>
        <v>36.125</v>
      </c>
      <c r="E393" s="28" t="s">
        <v>34</v>
      </c>
      <c r="F393" s="28" t="s">
        <v>75</v>
      </c>
    </row>
    <row r="394" spans="1:15" x14ac:dyDescent="0.3">
      <c r="D394" s="80">
        <v>2</v>
      </c>
      <c r="E394" s="28" t="s">
        <v>37</v>
      </c>
      <c r="F394" s="28" t="s">
        <v>65</v>
      </c>
    </row>
    <row r="395" spans="1:15" x14ac:dyDescent="0.3">
      <c r="D395" s="9">
        <f>D393*D394</f>
        <v>72.25</v>
      </c>
      <c r="E395" s="10" t="s">
        <v>23</v>
      </c>
      <c r="F395" s="10" t="s">
        <v>44</v>
      </c>
    </row>
    <row r="397" spans="1:15" x14ac:dyDescent="0.3">
      <c r="A397" s="86"/>
      <c r="B397" s="6">
        <f>B53</f>
        <v>601</v>
      </c>
      <c r="C397" s="12" t="str">
        <f>C53</f>
        <v>32200</v>
      </c>
      <c r="D397" s="6">
        <f>ROUNDUP(D404,0)</f>
        <v>119</v>
      </c>
      <c r="E397" s="6" t="str">
        <f>E53</f>
        <v>CY</v>
      </c>
      <c r="F397" s="22" t="str">
        <f>F53</f>
        <v>ROCK CHANNEL PROTECTION, TYPE C WITH FILTER</v>
      </c>
      <c r="G397" s="22"/>
      <c r="H397" s="88"/>
      <c r="I397" s="88"/>
      <c r="J397" s="88"/>
      <c r="K397" s="88"/>
      <c r="L397" s="88"/>
      <c r="M397" s="88"/>
      <c r="N397" s="89"/>
      <c r="O397" s="88"/>
    </row>
    <row r="398" spans="1:15" x14ac:dyDescent="0.3">
      <c r="B398" s="28" t="s">
        <v>150</v>
      </c>
      <c r="D398" s="80">
        <v>15.25</v>
      </c>
      <c r="E398" s="28" t="s">
        <v>34</v>
      </c>
      <c r="F398" s="28" t="s">
        <v>151</v>
      </c>
    </row>
    <row r="399" spans="1:15" x14ac:dyDescent="0.3">
      <c r="B399" s="28" t="s">
        <v>152</v>
      </c>
      <c r="D399" s="80">
        <v>23</v>
      </c>
      <c r="E399" s="28" t="s">
        <v>34</v>
      </c>
      <c r="F399" s="28" t="s">
        <v>153</v>
      </c>
    </row>
    <row r="400" spans="1:15" x14ac:dyDescent="0.3">
      <c r="D400" s="80">
        <v>42</v>
      </c>
      <c r="E400" s="28" t="s">
        <v>34</v>
      </c>
      <c r="F400" s="28" t="s">
        <v>160</v>
      </c>
    </row>
    <row r="401" spans="1:15" x14ac:dyDescent="0.3">
      <c r="D401" s="82">
        <f>(D398+D399)*D400</f>
        <v>1606.5</v>
      </c>
      <c r="E401" s="28" t="s">
        <v>66</v>
      </c>
      <c r="F401" s="28" t="s">
        <v>154</v>
      </c>
    </row>
    <row r="402" spans="1:15" x14ac:dyDescent="0.3">
      <c r="D402" s="80">
        <v>2</v>
      </c>
      <c r="E402" s="28" t="s">
        <v>34</v>
      </c>
      <c r="F402" s="28" t="s">
        <v>142</v>
      </c>
    </row>
    <row r="403" spans="1:15" x14ac:dyDescent="0.3">
      <c r="D403" s="82">
        <f>D401*D402</f>
        <v>3213</v>
      </c>
      <c r="E403" s="28" t="s">
        <v>41</v>
      </c>
      <c r="F403" s="28" t="s">
        <v>76</v>
      </c>
    </row>
    <row r="404" spans="1:15" x14ac:dyDescent="0.3">
      <c r="D404" s="9">
        <f>D403/27</f>
        <v>119</v>
      </c>
      <c r="E404" s="10" t="s">
        <v>62</v>
      </c>
      <c r="F404" s="10" t="s">
        <v>76</v>
      </c>
    </row>
    <row r="406" spans="1:15" x14ac:dyDescent="0.3">
      <c r="A406" s="86"/>
      <c r="B406" s="6">
        <f>B55</f>
        <v>846</v>
      </c>
      <c r="C406" s="6" t="str">
        <f t="shared" ref="C406:F406" si="1">C55</f>
        <v>00110</v>
      </c>
      <c r="D406" s="8">
        <f>ROUNDUP(D413,0)</f>
        <v>30</v>
      </c>
      <c r="E406" s="6" t="str">
        <f t="shared" si="1"/>
        <v>CF</v>
      </c>
      <c r="F406" s="22" t="str">
        <f t="shared" si="1"/>
        <v>POLYMER MODIFIED ASPHALT EXPANSION JOINT SYSTEM</v>
      </c>
      <c r="G406" s="22"/>
      <c r="H406" s="88"/>
      <c r="I406" s="88"/>
      <c r="J406" s="88"/>
      <c r="K406" s="88"/>
      <c r="L406" s="88"/>
      <c r="M406" s="88"/>
      <c r="N406" s="89"/>
      <c r="O406" s="88"/>
    </row>
    <row r="407" spans="1:15" x14ac:dyDescent="0.3">
      <c r="D407" s="80">
        <v>3</v>
      </c>
      <c r="E407" s="28" t="s">
        <v>39</v>
      </c>
      <c r="F407" s="28" t="s">
        <v>204</v>
      </c>
    </row>
    <row r="408" spans="1:15" x14ac:dyDescent="0.3">
      <c r="D408" s="80">
        <v>20</v>
      </c>
      <c r="E408" s="28" t="s">
        <v>39</v>
      </c>
      <c r="F408" s="28" t="s">
        <v>205</v>
      </c>
    </row>
    <row r="409" spans="1:15" x14ac:dyDescent="0.3">
      <c r="D409" s="82">
        <v>36</v>
      </c>
      <c r="E409" s="28" t="s">
        <v>34</v>
      </c>
      <c r="F409" s="28" t="s">
        <v>206</v>
      </c>
    </row>
    <row r="410" spans="1:15" x14ac:dyDescent="0.3">
      <c r="D410" s="82">
        <f>(D407*D408)*D409/144</f>
        <v>15</v>
      </c>
      <c r="E410" s="28" t="s">
        <v>41</v>
      </c>
      <c r="F410" s="28" t="s">
        <v>207</v>
      </c>
    </row>
    <row r="412" spans="1:15" x14ac:dyDescent="0.3">
      <c r="D412" s="80">
        <v>2</v>
      </c>
      <c r="E412" s="28" t="s">
        <v>208</v>
      </c>
      <c r="F412" s="28" t="s">
        <v>65</v>
      </c>
    </row>
    <row r="413" spans="1:15" x14ac:dyDescent="0.3">
      <c r="D413" s="9">
        <f>D410*D412</f>
        <v>30</v>
      </c>
      <c r="E413" s="10" t="s">
        <v>41</v>
      </c>
      <c r="F413" s="10" t="s">
        <v>76</v>
      </c>
    </row>
  </sheetData>
  <mergeCells count="4">
    <mergeCell ref="B7:O7"/>
    <mergeCell ref="B12:J13"/>
    <mergeCell ref="F241:O241"/>
    <mergeCell ref="F270:O270"/>
  </mergeCells>
  <pageMargins left="0.7" right="0.7" top="0.75" bottom="0.75" header="0.3" footer="0.3"/>
  <pageSetup scale="52" fitToHeight="0" orientation="landscape" r:id="rId1"/>
  <rowBreaks count="8" manualBreakCount="8">
    <brk id="57" min="1" max="14" man="1"/>
    <brk id="58" min="1" max="14" man="1"/>
    <brk id="121" min="1" max="14" man="1"/>
    <brk id="188" min="1" max="14" man="1"/>
    <brk id="240" min="1" max="14" man="1"/>
    <brk id="300" min="1" max="14" man="1"/>
    <brk id="349" min="1" max="14" man="1"/>
    <brk id="371" min="1" max="14" man="1"/>
  </rowBreaks>
  <colBreaks count="1" manualBreakCount="1">
    <brk id="15" max="514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10C6E2-AB91-4385-8365-9A0E1D0D4712}">
  <sheetPr>
    <tabColor theme="9" tint="0.79998168889431442"/>
    <pageSetUpPr fitToPage="1"/>
  </sheetPr>
  <dimension ref="A1:S401"/>
  <sheetViews>
    <sheetView topLeftCell="A21" zoomScale="85" zoomScaleNormal="85" workbookViewId="0">
      <selection activeCell="I24" sqref="I24"/>
    </sheetView>
  </sheetViews>
  <sheetFormatPr defaultColWidth="8.796875" defaultRowHeight="14.4" x14ac:dyDescent="0.3"/>
  <cols>
    <col min="1" max="1" width="8.796875" style="28"/>
    <col min="2" max="2" width="10.8984375" style="28" customWidth="1"/>
    <col min="3" max="3" width="11.19921875" style="28" customWidth="1"/>
    <col min="4" max="4" width="11.3984375" style="33" customWidth="1"/>
    <col min="5" max="5" width="9.09765625" style="28" customWidth="1"/>
    <col min="6" max="6" width="22.09765625" style="28" customWidth="1"/>
    <col min="7" max="9" width="11.3984375" style="28" customWidth="1"/>
    <col min="10" max="10" width="14" style="28" customWidth="1"/>
    <col min="11" max="11" width="11.3984375" style="28" customWidth="1"/>
    <col min="12" max="13" width="23.796875" style="28" customWidth="1"/>
    <col min="14" max="14" width="11.3984375" style="29" customWidth="1"/>
    <col min="15" max="15" width="15.296875" style="28" bestFit="1" customWidth="1"/>
    <col min="16" max="16" width="8.59765625" style="28" customWidth="1"/>
    <col min="17" max="16384" width="8.796875" style="28"/>
  </cols>
  <sheetData>
    <row r="1" spans="1:19" ht="17.100000000000001" customHeight="1" x14ac:dyDescent="0.3">
      <c r="C1" s="13"/>
      <c r="D1" s="14"/>
      <c r="E1" s="13"/>
      <c r="F1" s="13"/>
      <c r="G1" s="13"/>
      <c r="O1" s="15" t="s">
        <v>0</v>
      </c>
      <c r="R1" s="13"/>
      <c r="S1" s="13"/>
    </row>
    <row r="2" spans="1:19" ht="17.100000000000001" customHeight="1" x14ac:dyDescent="0.3">
      <c r="B2" s="13"/>
      <c r="D2" s="14"/>
      <c r="E2" s="13"/>
      <c r="F2" s="13"/>
      <c r="G2" s="13"/>
      <c r="M2" s="15" t="s">
        <v>1</v>
      </c>
      <c r="R2" s="13"/>
      <c r="S2" s="13"/>
    </row>
    <row r="3" spans="1:19" ht="17.100000000000001" customHeight="1" x14ac:dyDescent="0.3">
      <c r="B3" s="13"/>
      <c r="C3" s="13"/>
      <c r="D3" s="14"/>
      <c r="E3" s="13"/>
      <c r="F3" s="13"/>
      <c r="G3" s="13"/>
      <c r="M3" s="15" t="s">
        <v>2</v>
      </c>
      <c r="R3" s="13"/>
      <c r="S3" s="13"/>
    </row>
    <row r="4" spans="1:19" ht="17.100000000000001" customHeight="1" x14ac:dyDescent="0.3">
      <c r="B4" s="13"/>
      <c r="C4" s="13"/>
      <c r="D4" s="14"/>
      <c r="E4" s="13"/>
      <c r="F4" s="13"/>
      <c r="G4" s="13"/>
      <c r="M4" s="15" t="s">
        <v>3</v>
      </c>
      <c r="R4" s="13"/>
      <c r="S4" s="13"/>
    </row>
    <row r="5" spans="1:19" s="30" customFormat="1" ht="2.25" customHeight="1" x14ac:dyDescent="0.3">
      <c r="A5" s="28"/>
      <c r="D5" s="31"/>
      <c r="N5" s="32"/>
    </row>
    <row r="6" spans="1:19" s="1" customFormat="1" ht="2.25" customHeight="1" x14ac:dyDescent="0.3">
      <c r="A6" s="20"/>
      <c r="D6" s="2"/>
      <c r="N6" s="3"/>
    </row>
    <row r="7" spans="1:19" ht="18" x14ac:dyDescent="0.35">
      <c r="A7" s="33"/>
      <c r="B7" s="172" t="s">
        <v>155</v>
      </c>
      <c r="C7" s="172"/>
      <c r="D7" s="172"/>
      <c r="E7" s="172"/>
      <c r="F7" s="172"/>
      <c r="G7" s="172"/>
      <c r="H7" s="172"/>
      <c r="I7" s="172"/>
      <c r="J7" s="172"/>
      <c r="K7" s="172"/>
      <c r="L7" s="172"/>
      <c r="M7" s="172"/>
      <c r="N7" s="172"/>
      <c r="O7" s="172"/>
      <c r="P7" s="4"/>
      <c r="Q7" s="4"/>
    </row>
    <row r="8" spans="1:19" x14ac:dyDescent="0.3">
      <c r="B8" s="34" t="s">
        <v>4</v>
      </c>
      <c r="C8" s="34"/>
      <c r="D8" s="35"/>
      <c r="E8" s="34" t="s">
        <v>5</v>
      </c>
      <c r="F8" s="36"/>
      <c r="G8" s="34" t="s">
        <v>6</v>
      </c>
      <c r="H8" s="37">
        <v>118518</v>
      </c>
      <c r="I8" s="37"/>
      <c r="J8" s="34" t="s">
        <v>7</v>
      </c>
      <c r="K8" s="37">
        <v>7105364</v>
      </c>
      <c r="L8" s="37"/>
      <c r="M8" s="37"/>
      <c r="N8" s="38"/>
      <c r="O8" s="37"/>
    </row>
    <row r="9" spans="1:19" ht="15" thickBot="1" x14ac:dyDescent="0.35">
      <c r="B9" s="39" t="s">
        <v>8</v>
      </c>
      <c r="C9" s="39"/>
      <c r="D9" s="40"/>
      <c r="E9" s="39" t="s">
        <v>5</v>
      </c>
      <c r="F9" s="41"/>
      <c r="G9" s="39" t="s">
        <v>9</v>
      </c>
      <c r="H9" s="40"/>
      <c r="I9" s="42"/>
      <c r="J9" s="42"/>
      <c r="K9" s="42"/>
      <c r="L9" s="42"/>
      <c r="M9" s="42"/>
      <c r="N9" s="43"/>
      <c r="O9" s="42"/>
    </row>
    <row r="10" spans="1:19" ht="15" hidden="1" thickBot="1" x14ac:dyDescent="0.35">
      <c r="B10" s="39" t="s">
        <v>10</v>
      </c>
      <c r="C10" s="40" t="s">
        <v>11</v>
      </c>
      <c r="D10" s="42"/>
      <c r="E10" s="42"/>
      <c r="F10" s="42"/>
      <c r="I10" s="42"/>
      <c r="J10" s="42"/>
      <c r="K10" s="42"/>
      <c r="L10" s="42"/>
      <c r="M10" s="42"/>
      <c r="N10" s="43"/>
      <c r="O10" s="42"/>
    </row>
    <row r="11" spans="1:19" ht="15" hidden="1" thickBot="1" x14ac:dyDescent="0.35"/>
    <row r="12" spans="1:19" ht="15" customHeight="1" x14ac:dyDescent="0.3">
      <c r="A12" s="33"/>
      <c r="B12" s="173" t="s">
        <v>77</v>
      </c>
      <c r="C12" s="174"/>
      <c r="D12" s="174"/>
      <c r="E12" s="174"/>
      <c r="F12" s="174"/>
      <c r="G12" s="174"/>
      <c r="H12" s="174"/>
      <c r="I12" s="174"/>
      <c r="J12" s="174"/>
      <c r="K12" s="44" t="s">
        <v>12</v>
      </c>
      <c r="L12" s="45" t="s">
        <v>156</v>
      </c>
      <c r="M12" s="108"/>
      <c r="N12" s="46" t="str">
        <f>E8</f>
        <v>Date:</v>
      </c>
      <c r="O12" s="47">
        <v>45473</v>
      </c>
    </row>
    <row r="13" spans="1:19" ht="15" customHeight="1" thickBot="1" x14ac:dyDescent="0.35">
      <c r="A13" s="33"/>
      <c r="B13" s="175"/>
      <c r="C13" s="176"/>
      <c r="D13" s="176"/>
      <c r="E13" s="176"/>
      <c r="F13" s="176"/>
      <c r="G13" s="176"/>
      <c r="H13" s="176"/>
      <c r="I13" s="176"/>
      <c r="J13" s="176"/>
      <c r="K13" s="48" t="s">
        <v>13</v>
      </c>
      <c r="L13" s="49" t="s">
        <v>165</v>
      </c>
      <c r="M13" s="109"/>
      <c r="N13" s="50" t="str">
        <f>E9</f>
        <v>Date:</v>
      </c>
      <c r="O13" s="51">
        <v>45474</v>
      </c>
    </row>
    <row r="14" spans="1:19" x14ac:dyDescent="0.3">
      <c r="A14" s="33"/>
      <c r="B14" s="52" t="s">
        <v>14</v>
      </c>
      <c r="C14" s="53" t="s">
        <v>15</v>
      </c>
      <c r="D14" s="54" t="s">
        <v>16</v>
      </c>
      <c r="E14" s="53" t="s">
        <v>17</v>
      </c>
      <c r="F14" s="55" t="s">
        <v>18</v>
      </c>
      <c r="G14" s="56"/>
      <c r="H14" s="56"/>
      <c r="I14" s="56"/>
      <c r="J14" s="56"/>
      <c r="K14" s="56"/>
      <c r="L14" s="56"/>
      <c r="M14" s="110"/>
      <c r="N14" s="102" t="s">
        <v>19</v>
      </c>
      <c r="O14" s="57" t="s">
        <v>20</v>
      </c>
    </row>
    <row r="15" spans="1:19" x14ac:dyDescent="0.3">
      <c r="B15" s="58">
        <v>202</v>
      </c>
      <c r="C15" s="24" t="s">
        <v>166</v>
      </c>
      <c r="D15" s="59">
        <v>1</v>
      </c>
      <c r="E15" s="60" t="s">
        <v>78</v>
      </c>
      <c r="F15" s="23" t="s">
        <v>167</v>
      </c>
      <c r="G15" s="40"/>
      <c r="H15" s="40"/>
      <c r="I15" s="40"/>
      <c r="J15" s="40"/>
      <c r="K15" s="40"/>
      <c r="L15" s="40"/>
      <c r="M15" s="111"/>
      <c r="N15" s="103">
        <v>100000</v>
      </c>
      <c r="O15" s="61">
        <f>N15*D15</f>
        <v>100000</v>
      </c>
    </row>
    <row r="16" spans="1:19" x14ac:dyDescent="0.3">
      <c r="B16" s="58">
        <v>202</v>
      </c>
      <c r="C16" s="24">
        <v>22900</v>
      </c>
      <c r="D16" s="59">
        <f>D84</f>
        <v>212</v>
      </c>
      <c r="E16" s="60" t="s">
        <v>25</v>
      </c>
      <c r="F16" s="23" t="s">
        <v>143</v>
      </c>
      <c r="G16" s="40"/>
      <c r="H16" s="40"/>
      <c r="I16" s="40"/>
      <c r="J16" s="40"/>
      <c r="K16" s="40"/>
      <c r="L16" s="40"/>
      <c r="M16" s="111"/>
      <c r="N16" s="103">
        <v>51.15</v>
      </c>
      <c r="O16" s="61">
        <f>N16*D16</f>
        <v>10843.8</v>
      </c>
    </row>
    <row r="17" spans="1:15" x14ac:dyDescent="0.3">
      <c r="A17" s="33"/>
      <c r="B17" s="58"/>
      <c r="C17" s="24"/>
      <c r="D17" s="59"/>
      <c r="E17" s="60"/>
      <c r="F17" s="23"/>
      <c r="G17" s="40"/>
      <c r="H17" s="40"/>
      <c r="I17" s="40"/>
      <c r="J17" s="40"/>
      <c r="K17" s="40"/>
      <c r="L17" s="40"/>
      <c r="M17" s="111"/>
      <c r="N17" s="103"/>
      <c r="O17" s="61"/>
    </row>
    <row r="18" spans="1:15" x14ac:dyDescent="0.3">
      <c r="A18" s="33"/>
      <c r="B18" s="62">
        <v>203</v>
      </c>
      <c r="C18" s="26">
        <v>10000</v>
      </c>
      <c r="D18" s="63">
        <f>D92</f>
        <v>167</v>
      </c>
      <c r="E18" s="26" t="s">
        <v>24</v>
      </c>
      <c r="F18" s="27" t="s">
        <v>144</v>
      </c>
      <c r="G18" s="35"/>
      <c r="H18" s="35"/>
      <c r="I18" s="35"/>
      <c r="J18" s="35"/>
      <c r="K18" s="35"/>
      <c r="L18" s="35"/>
      <c r="M18" s="112"/>
      <c r="N18" s="103">
        <v>31.92</v>
      </c>
      <c r="O18" s="61">
        <f>N18*D18</f>
        <v>5330.64</v>
      </c>
    </row>
    <row r="19" spans="1:15" x14ac:dyDescent="0.3">
      <c r="B19" s="58">
        <v>203</v>
      </c>
      <c r="C19" s="24" t="s">
        <v>164</v>
      </c>
      <c r="D19" s="59">
        <f>D121</f>
        <v>464.70281854407631</v>
      </c>
      <c r="E19" s="26" t="s">
        <v>24</v>
      </c>
      <c r="F19" s="23" t="s">
        <v>145</v>
      </c>
      <c r="G19" s="40"/>
      <c r="H19" s="40"/>
      <c r="I19" s="40"/>
      <c r="J19" s="40"/>
      <c r="K19" s="40"/>
      <c r="L19" s="40"/>
      <c r="M19" s="111"/>
      <c r="N19" s="103">
        <v>37.5</v>
      </c>
      <c r="O19" s="61">
        <f>N19*D19</f>
        <v>17426.355695402861</v>
      </c>
    </row>
    <row r="20" spans="1:15" x14ac:dyDescent="0.3">
      <c r="B20" s="62"/>
      <c r="C20" s="25"/>
      <c r="D20" s="63"/>
      <c r="E20" s="26"/>
      <c r="F20" s="27"/>
      <c r="G20" s="35"/>
      <c r="H20" s="35"/>
      <c r="I20" s="35"/>
      <c r="J20" s="35"/>
      <c r="K20" s="35"/>
      <c r="L20" s="35"/>
      <c r="M20" s="112"/>
      <c r="N20" s="104"/>
      <c r="O20" s="61"/>
    </row>
    <row r="21" spans="1:15" x14ac:dyDescent="0.3">
      <c r="B21" s="62">
        <v>503</v>
      </c>
      <c r="C21" s="122" t="s">
        <v>233</v>
      </c>
      <c r="D21" s="63">
        <v>1</v>
      </c>
      <c r="E21" s="26" t="s">
        <v>78</v>
      </c>
      <c r="F21" s="124" t="s">
        <v>235</v>
      </c>
      <c r="G21" s="35"/>
      <c r="H21" s="35"/>
      <c r="I21" s="35"/>
      <c r="J21" s="35"/>
      <c r="K21" s="35"/>
      <c r="L21" s="35"/>
      <c r="M21" s="112"/>
      <c r="N21" s="104">
        <v>25000</v>
      </c>
      <c r="O21" s="61">
        <f>N21*D21</f>
        <v>25000</v>
      </c>
    </row>
    <row r="22" spans="1:15" x14ac:dyDescent="0.3">
      <c r="B22" s="58">
        <v>503</v>
      </c>
      <c r="C22" s="197" t="s">
        <v>305</v>
      </c>
      <c r="D22" s="63">
        <v>1</v>
      </c>
      <c r="E22" s="26" t="s">
        <v>78</v>
      </c>
      <c r="F22" s="198" t="s">
        <v>306</v>
      </c>
      <c r="G22" s="35"/>
      <c r="H22" s="35"/>
      <c r="I22" s="35"/>
      <c r="J22" s="35"/>
      <c r="K22" s="35"/>
      <c r="L22" s="35"/>
      <c r="M22" s="112"/>
      <c r="N22" s="104">
        <v>30000</v>
      </c>
      <c r="O22" s="61">
        <f>N22*D22</f>
        <v>30000</v>
      </c>
    </row>
    <row r="23" spans="1:15" x14ac:dyDescent="0.3">
      <c r="A23" s="33"/>
      <c r="B23" s="62"/>
      <c r="C23" s="26"/>
      <c r="D23" s="63"/>
      <c r="E23" s="26"/>
      <c r="F23" s="27"/>
      <c r="G23" s="35"/>
      <c r="H23" s="35"/>
      <c r="I23" s="35"/>
      <c r="J23" s="35"/>
      <c r="K23" s="35"/>
      <c r="L23" s="35"/>
      <c r="M23" s="112"/>
      <c r="N23" s="105"/>
      <c r="O23" s="61"/>
    </row>
    <row r="24" spans="1:15" x14ac:dyDescent="0.3">
      <c r="A24" s="33"/>
      <c r="B24" s="58">
        <v>507</v>
      </c>
      <c r="C24" s="129" t="s">
        <v>258</v>
      </c>
      <c r="D24" s="59">
        <f>D159</f>
        <v>400</v>
      </c>
      <c r="E24" s="60" t="s">
        <v>23</v>
      </c>
      <c r="F24" s="127" t="s">
        <v>251</v>
      </c>
      <c r="G24" s="40"/>
      <c r="H24" s="40"/>
      <c r="I24" s="40"/>
      <c r="J24" s="40"/>
      <c r="K24" s="40"/>
      <c r="L24" s="40"/>
      <c r="M24" s="111"/>
      <c r="N24" s="103">
        <v>47.34</v>
      </c>
      <c r="O24" s="61">
        <f>N24*D24</f>
        <v>18936</v>
      </c>
    </row>
    <row r="25" spans="1:15" x14ac:dyDescent="0.3">
      <c r="A25" s="33"/>
      <c r="B25" s="62">
        <v>507</v>
      </c>
      <c r="C25" s="96" t="s">
        <v>217</v>
      </c>
      <c r="D25" s="63">
        <f>D167</f>
        <v>205</v>
      </c>
      <c r="E25" s="26" t="s">
        <v>23</v>
      </c>
      <c r="F25" s="97" t="s">
        <v>218</v>
      </c>
      <c r="G25" s="35"/>
      <c r="H25" s="35"/>
      <c r="I25" s="35"/>
      <c r="J25" s="35"/>
      <c r="K25" s="35"/>
      <c r="L25" s="35"/>
      <c r="M25" s="112"/>
      <c r="N25" s="103">
        <v>127.38</v>
      </c>
      <c r="O25" s="61">
        <f>N25*D25</f>
        <v>26112.899999999998</v>
      </c>
    </row>
    <row r="26" spans="1:15" x14ac:dyDescent="0.3">
      <c r="A26" s="33"/>
      <c r="B26" s="62"/>
      <c r="C26" s="26"/>
      <c r="D26" s="63"/>
      <c r="E26" s="26"/>
      <c r="F26" s="27"/>
      <c r="G26" s="35"/>
      <c r="H26" s="35"/>
      <c r="I26" s="35"/>
      <c r="J26" s="35"/>
      <c r="K26" s="35"/>
      <c r="L26" s="35"/>
      <c r="M26" s="112"/>
      <c r="N26" s="105"/>
      <c r="O26" s="90"/>
    </row>
    <row r="27" spans="1:15" x14ac:dyDescent="0.3">
      <c r="A27" s="33"/>
      <c r="B27" s="58">
        <v>509</v>
      </c>
      <c r="C27" s="24" t="s">
        <v>21</v>
      </c>
      <c r="D27" s="59">
        <f>D181</f>
        <v>47263</v>
      </c>
      <c r="E27" s="60" t="s">
        <v>22</v>
      </c>
      <c r="F27" s="23" t="s">
        <v>80</v>
      </c>
      <c r="G27" s="40"/>
      <c r="H27" s="40"/>
      <c r="I27" s="40"/>
      <c r="J27" s="40"/>
      <c r="K27" s="40"/>
      <c r="L27" s="40"/>
      <c r="M27" s="111"/>
      <c r="N27" s="103">
        <v>1.94</v>
      </c>
      <c r="O27" s="61">
        <f>N27*D27</f>
        <v>91690.22</v>
      </c>
    </row>
    <row r="28" spans="1:15" x14ac:dyDescent="0.3">
      <c r="A28" s="33"/>
      <c r="B28" s="58"/>
      <c r="C28" s="24"/>
      <c r="D28" s="59"/>
      <c r="E28" s="60"/>
      <c r="F28" s="23"/>
      <c r="G28" s="40"/>
      <c r="H28" s="40"/>
      <c r="I28" s="40"/>
      <c r="J28" s="40"/>
      <c r="K28" s="40"/>
      <c r="L28" s="40"/>
      <c r="M28" s="111"/>
      <c r="N28" s="103"/>
      <c r="O28" s="61"/>
    </row>
    <row r="29" spans="1:15" x14ac:dyDescent="0.3">
      <c r="A29" s="33"/>
      <c r="B29" s="58">
        <v>511</v>
      </c>
      <c r="C29" s="24" t="s">
        <v>81</v>
      </c>
      <c r="D29" s="59">
        <f>D192</f>
        <v>131</v>
      </c>
      <c r="E29" s="60" t="s">
        <v>24</v>
      </c>
      <c r="F29" s="23" t="s">
        <v>82</v>
      </c>
      <c r="G29" s="40"/>
      <c r="H29" s="40"/>
      <c r="I29" s="40"/>
      <c r="J29" s="40"/>
      <c r="K29" s="40"/>
      <c r="L29" s="40"/>
      <c r="M29" s="111"/>
      <c r="N29" s="103">
        <v>1770</v>
      </c>
      <c r="O29" s="61">
        <f>N29*D29</f>
        <v>231870</v>
      </c>
    </row>
    <row r="30" spans="1:15" x14ac:dyDescent="0.3">
      <c r="A30" s="33"/>
      <c r="B30" s="58">
        <v>511</v>
      </c>
      <c r="C30" s="24" t="s">
        <v>141</v>
      </c>
      <c r="D30" s="59">
        <f>D226</f>
        <v>146</v>
      </c>
      <c r="E30" s="60" t="s">
        <v>24</v>
      </c>
      <c r="F30" s="23" t="s">
        <v>140</v>
      </c>
      <c r="G30" s="40"/>
      <c r="H30" s="40"/>
      <c r="I30" s="40"/>
      <c r="J30" s="40"/>
      <c r="K30" s="40"/>
      <c r="L30" s="40"/>
      <c r="M30" s="111"/>
      <c r="N30" s="103">
        <v>867.55</v>
      </c>
      <c r="O30" s="61">
        <f>N30*D30</f>
        <v>126662.29999999999</v>
      </c>
    </row>
    <row r="31" spans="1:15" x14ac:dyDescent="0.3">
      <c r="A31" s="33"/>
      <c r="B31" s="58"/>
      <c r="C31" s="24"/>
      <c r="D31" s="59"/>
      <c r="E31" s="60"/>
      <c r="F31" s="23"/>
      <c r="G31" s="40"/>
      <c r="H31" s="40"/>
      <c r="I31" s="40"/>
      <c r="J31" s="40"/>
      <c r="K31" s="40"/>
      <c r="L31" s="40"/>
      <c r="M31" s="111"/>
      <c r="N31" s="103"/>
      <c r="O31" s="61"/>
    </row>
    <row r="32" spans="1:15" x14ac:dyDescent="0.3">
      <c r="A32" s="33"/>
      <c r="B32" s="58">
        <v>512</v>
      </c>
      <c r="C32" s="24">
        <v>10100</v>
      </c>
      <c r="D32" s="59">
        <f>D256</f>
        <v>324</v>
      </c>
      <c r="E32" s="60" t="s">
        <v>25</v>
      </c>
      <c r="F32" s="23" t="s">
        <v>26</v>
      </c>
      <c r="G32" s="40"/>
      <c r="H32" s="40"/>
      <c r="I32" s="40"/>
      <c r="J32" s="40"/>
      <c r="K32" s="40"/>
      <c r="L32" s="40"/>
      <c r="M32" s="111"/>
      <c r="N32" s="103">
        <v>38.85</v>
      </c>
      <c r="O32" s="61">
        <f>N32*D32</f>
        <v>12587.4</v>
      </c>
    </row>
    <row r="33" spans="1:15" x14ac:dyDescent="0.3">
      <c r="A33" s="33"/>
      <c r="B33" s="58"/>
      <c r="C33" s="24"/>
      <c r="D33" s="59"/>
      <c r="E33" s="60"/>
      <c r="F33" s="23"/>
      <c r="G33" s="40"/>
      <c r="H33" s="40"/>
      <c r="I33" s="40"/>
      <c r="J33" s="40"/>
      <c r="K33" s="40"/>
      <c r="L33" s="40"/>
      <c r="M33" s="111"/>
      <c r="N33" s="103"/>
      <c r="O33" s="61"/>
    </row>
    <row r="34" spans="1:15" x14ac:dyDescent="0.3">
      <c r="A34" s="33"/>
      <c r="B34" s="58">
        <v>515</v>
      </c>
      <c r="C34" s="24" t="s">
        <v>157</v>
      </c>
      <c r="D34" s="59">
        <f>D287</f>
        <v>5</v>
      </c>
      <c r="E34" s="60" t="s">
        <v>27</v>
      </c>
      <c r="F34" s="127" t="s">
        <v>259</v>
      </c>
      <c r="G34" s="40"/>
      <c r="H34" s="40"/>
      <c r="I34" s="40"/>
      <c r="J34" s="40"/>
      <c r="K34" s="40"/>
      <c r="L34" s="40"/>
      <c r="M34" s="111"/>
      <c r="N34" s="103">
        <v>32500</v>
      </c>
      <c r="O34" s="61">
        <v>162500</v>
      </c>
    </row>
    <row r="35" spans="1:15" x14ac:dyDescent="0.3">
      <c r="A35" s="33"/>
      <c r="B35" s="58">
        <v>515</v>
      </c>
      <c r="C35" s="24" t="s">
        <v>79</v>
      </c>
      <c r="D35" s="64">
        <f>D292</f>
        <v>4</v>
      </c>
      <c r="E35" s="60" t="s">
        <v>27</v>
      </c>
      <c r="F35" s="23" t="s">
        <v>83</v>
      </c>
      <c r="G35" s="40"/>
      <c r="H35" s="40"/>
      <c r="I35" s="40"/>
      <c r="J35" s="40"/>
      <c r="K35" s="40"/>
      <c r="L35" s="40"/>
      <c r="M35" s="111"/>
      <c r="N35" s="103">
        <v>3033.99</v>
      </c>
      <c r="O35" s="61">
        <f>N35*D35</f>
        <v>12135.96</v>
      </c>
    </row>
    <row r="36" spans="1:15" x14ac:dyDescent="0.3">
      <c r="A36" s="33"/>
      <c r="B36" s="65"/>
      <c r="C36" s="66"/>
      <c r="D36" s="64"/>
      <c r="E36" s="67"/>
      <c r="F36" s="23"/>
      <c r="G36" s="40"/>
      <c r="H36" s="40"/>
      <c r="I36" s="40"/>
      <c r="J36" s="40"/>
      <c r="K36" s="40"/>
      <c r="L36" s="40"/>
      <c r="M36" s="111"/>
      <c r="N36" s="103"/>
      <c r="O36" s="61"/>
    </row>
    <row r="37" spans="1:15" x14ac:dyDescent="0.3">
      <c r="A37" s="33"/>
      <c r="B37" s="65">
        <v>516</v>
      </c>
      <c r="C37" s="125" t="s">
        <v>242</v>
      </c>
      <c r="D37" s="64">
        <f>D299</f>
        <v>79</v>
      </c>
      <c r="E37" s="126" t="s">
        <v>245</v>
      </c>
      <c r="F37" s="124" t="s">
        <v>246</v>
      </c>
      <c r="G37" s="40"/>
      <c r="H37" s="40"/>
      <c r="I37" s="40"/>
      <c r="J37" s="40"/>
      <c r="K37" s="40"/>
      <c r="L37" s="40"/>
      <c r="M37" s="111"/>
      <c r="N37" s="103">
        <v>6.97</v>
      </c>
      <c r="O37" s="61">
        <f t="shared" ref="O37:O39" si="0">N37*D37</f>
        <v>550.63</v>
      </c>
    </row>
    <row r="38" spans="1:15" x14ac:dyDescent="0.3">
      <c r="A38" s="33"/>
      <c r="B38" s="65">
        <v>516</v>
      </c>
      <c r="C38" s="125" t="s">
        <v>243</v>
      </c>
      <c r="D38" s="64">
        <f>D305</f>
        <v>82</v>
      </c>
      <c r="E38" s="126" t="s">
        <v>245</v>
      </c>
      <c r="F38" s="124" t="s">
        <v>247</v>
      </c>
      <c r="G38" s="40"/>
      <c r="H38" s="40"/>
      <c r="I38" s="40"/>
      <c r="J38" s="40"/>
      <c r="K38" s="40"/>
      <c r="L38" s="40"/>
      <c r="M38" s="111"/>
      <c r="N38" s="103">
        <v>11.56</v>
      </c>
      <c r="O38" s="61">
        <f t="shared" si="0"/>
        <v>947.92000000000007</v>
      </c>
    </row>
    <row r="39" spans="1:15" x14ac:dyDescent="0.3">
      <c r="A39" s="33"/>
      <c r="B39" s="65">
        <v>516</v>
      </c>
      <c r="C39" s="125" t="s">
        <v>244</v>
      </c>
      <c r="D39" s="64">
        <f>D314</f>
        <v>65</v>
      </c>
      <c r="E39" s="126" t="s">
        <v>245</v>
      </c>
      <c r="F39" s="124" t="s">
        <v>248</v>
      </c>
      <c r="G39" s="40"/>
      <c r="H39" s="40"/>
      <c r="I39" s="40"/>
      <c r="J39" s="40"/>
      <c r="K39" s="40"/>
      <c r="L39" s="40"/>
      <c r="M39" s="111"/>
      <c r="N39" s="103">
        <v>11.79</v>
      </c>
      <c r="O39" s="61">
        <f t="shared" si="0"/>
        <v>766.34999999999991</v>
      </c>
    </row>
    <row r="40" spans="1:15" x14ac:dyDescent="0.3">
      <c r="A40" s="33"/>
      <c r="B40" s="65">
        <v>516</v>
      </c>
      <c r="C40" s="66" t="s">
        <v>163</v>
      </c>
      <c r="D40" s="59">
        <f>D321</f>
        <v>104.676</v>
      </c>
      <c r="E40" s="67" t="s">
        <v>23</v>
      </c>
      <c r="F40" s="23" t="s">
        <v>146</v>
      </c>
      <c r="G40" s="40"/>
      <c r="H40" s="40"/>
      <c r="I40" s="40"/>
      <c r="J40" s="40"/>
      <c r="K40" s="40"/>
      <c r="L40" s="40"/>
      <c r="M40" s="111"/>
      <c r="N40" s="103">
        <v>42.15</v>
      </c>
      <c r="O40" s="61">
        <f>N40*D40</f>
        <v>4412.0933999999997</v>
      </c>
    </row>
    <row r="41" spans="1:15" x14ac:dyDescent="0.3">
      <c r="A41" s="33"/>
      <c r="B41" s="65">
        <v>516</v>
      </c>
      <c r="C41" s="125" t="s">
        <v>237</v>
      </c>
      <c r="D41" s="59">
        <f>D330</f>
        <v>10</v>
      </c>
      <c r="E41" s="67" t="s">
        <v>27</v>
      </c>
      <c r="F41" s="144" t="s">
        <v>300</v>
      </c>
      <c r="G41" s="40"/>
      <c r="H41" s="40"/>
      <c r="I41" s="40"/>
      <c r="J41" s="40"/>
      <c r="K41" s="40"/>
      <c r="L41" s="40"/>
      <c r="M41" s="111"/>
      <c r="N41" s="103">
        <v>845</v>
      </c>
      <c r="O41" s="61">
        <f>N41*D41</f>
        <v>8450</v>
      </c>
    </row>
    <row r="42" spans="1:15" x14ac:dyDescent="0.3">
      <c r="A42" s="33"/>
      <c r="B42" s="65"/>
      <c r="C42" s="66"/>
      <c r="D42" s="59"/>
      <c r="E42" s="67"/>
      <c r="F42" s="23"/>
      <c r="G42" s="40"/>
      <c r="H42" s="40"/>
      <c r="I42" s="40"/>
      <c r="J42" s="40"/>
      <c r="K42" s="40"/>
      <c r="L42" s="40"/>
      <c r="M42" s="111"/>
      <c r="N42" s="103"/>
      <c r="O42" s="61"/>
    </row>
    <row r="43" spans="1:15" x14ac:dyDescent="0.3">
      <c r="A43" s="33"/>
      <c r="B43" s="65">
        <v>517</v>
      </c>
      <c r="C43" s="66" t="s">
        <v>194</v>
      </c>
      <c r="D43" s="59">
        <f>D336</f>
        <v>181.66</v>
      </c>
      <c r="E43" s="67" t="s">
        <v>23</v>
      </c>
      <c r="F43" s="23" t="s">
        <v>195</v>
      </c>
      <c r="G43" s="40"/>
      <c r="H43" s="40"/>
      <c r="I43" s="40"/>
      <c r="J43" s="40"/>
      <c r="K43" s="40"/>
      <c r="L43" s="40"/>
      <c r="M43" s="111"/>
      <c r="N43" s="103">
        <v>519.33000000000004</v>
      </c>
      <c r="O43" s="61">
        <f>N43*D43</f>
        <v>94341.487800000003</v>
      </c>
    </row>
    <row r="44" spans="1:15" x14ac:dyDescent="0.3">
      <c r="A44" s="33"/>
      <c r="B44" s="65"/>
      <c r="C44" s="66"/>
      <c r="D44" s="59"/>
      <c r="E44" s="67"/>
      <c r="F44" s="23"/>
      <c r="G44" s="40"/>
      <c r="H44" s="40"/>
      <c r="I44" s="40"/>
      <c r="J44" s="40"/>
      <c r="K44" s="40"/>
      <c r="L44" s="40"/>
      <c r="M44" s="111"/>
      <c r="N44" s="103"/>
      <c r="O44" s="61"/>
    </row>
    <row r="45" spans="1:15" x14ac:dyDescent="0.3">
      <c r="A45" s="33"/>
      <c r="B45" s="65">
        <v>518</v>
      </c>
      <c r="C45" s="125" t="s">
        <v>238</v>
      </c>
      <c r="D45" s="59">
        <f>D344</f>
        <v>352</v>
      </c>
      <c r="E45" s="67" t="s">
        <v>24</v>
      </c>
      <c r="F45" s="124" t="s">
        <v>239</v>
      </c>
      <c r="G45" s="40"/>
      <c r="H45" s="40"/>
      <c r="I45" s="40"/>
      <c r="J45" s="40"/>
      <c r="K45" s="40"/>
      <c r="L45" s="40"/>
      <c r="M45" s="111"/>
      <c r="N45" s="103">
        <v>175</v>
      </c>
      <c r="O45" s="61">
        <f>N45*D45</f>
        <v>61600</v>
      </c>
    </row>
    <row r="46" spans="1:15" x14ac:dyDescent="0.3">
      <c r="A46" s="33"/>
      <c r="B46" s="65">
        <v>518</v>
      </c>
      <c r="C46" s="66" t="s">
        <v>85</v>
      </c>
      <c r="D46" s="59">
        <f>D369</f>
        <v>147</v>
      </c>
      <c r="E46" s="67" t="s">
        <v>23</v>
      </c>
      <c r="F46" s="23" t="s">
        <v>84</v>
      </c>
      <c r="G46" s="40"/>
      <c r="H46" s="40"/>
      <c r="I46" s="40"/>
      <c r="J46" s="40"/>
      <c r="K46" s="40"/>
      <c r="L46" s="40"/>
      <c r="M46" s="111"/>
      <c r="N46" s="103">
        <v>12.16</v>
      </c>
      <c r="O46" s="61">
        <f>N46*D46</f>
        <v>1787.52</v>
      </c>
    </row>
    <row r="47" spans="1:15" x14ac:dyDescent="0.3">
      <c r="A47" s="33"/>
      <c r="B47" s="65">
        <v>518</v>
      </c>
      <c r="C47" s="66" t="s">
        <v>86</v>
      </c>
      <c r="D47" s="59">
        <f>D374</f>
        <v>60</v>
      </c>
      <c r="E47" s="67" t="s">
        <v>23</v>
      </c>
      <c r="F47" s="23" t="s">
        <v>87</v>
      </c>
      <c r="G47" s="40"/>
      <c r="H47" s="40"/>
      <c r="I47" s="40"/>
      <c r="J47" s="40"/>
      <c r="K47" s="40"/>
      <c r="L47" s="40"/>
      <c r="M47" s="111"/>
      <c r="N47" s="103">
        <v>22.85</v>
      </c>
      <c r="O47" s="61">
        <f>N47*D47</f>
        <v>1371</v>
      </c>
    </row>
    <row r="48" spans="1:15" x14ac:dyDescent="0.3">
      <c r="A48" s="33"/>
      <c r="B48" s="65"/>
      <c r="C48" s="66"/>
      <c r="D48" s="59"/>
      <c r="E48" s="67"/>
      <c r="F48" s="23"/>
      <c r="G48" s="40"/>
      <c r="H48" s="40"/>
      <c r="I48" s="40"/>
      <c r="J48" s="40"/>
      <c r="K48" s="40"/>
      <c r="L48" s="40"/>
      <c r="M48" s="111"/>
      <c r="N48" s="103"/>
      <c r="O48" s="61"/>
    </row>
    <row r="49" spans="1:18" x14ac:dyDescent="0.3">
      <c r="A49" s="33"/>
      <c r="B49" s="65">
        <v>526</v>
      </c>
      <c r="C49" s="66" t="s">
        <v>157</v>
      </c>
      <c r="D49" s="59">
        <f>D380</f>
        <v>161</v>
      </c>
      <c r="E49" s="67" t="s">
        <v>25</v>
      </c>
      <c r="F49" s="23" t="s">
        <v>159</v>
      </c>
      <c r="G49" s="40"/>
      <c r="H49" s="40"/>
      <c r="I49" s="40"/>
      <c r="J49" s="40"/>
      <c r="K49" s="40"/>
      <c r="L49" s="40"/>
      <c r="M49" s="111"/>
      <c r="N49" s="103">
        <v>352.43</v>
      </c>
      <c r="O49" s="61">
        <f>N49*D49</f>
        <v>56741.23</v>
      </c>
      <c r="P49" s="5"/>
    </row>
    <row r="50" spans="1:18" x14ac:dyDescent="0.3">
      <c r="A50" s="33"/>
      <c r="B50" s="65">
        <v>526</v>
      </c>
      <c r="C50" s="66">
        <v>90010</v>
      </c>
      <c r="D50" s="59">
        <f>D387</f>
        <v>72</v>
      </c>
      <c r="E50" s="67" t="s">
        <v>23</v>
      </c>
      <c r="F50" s="23" t="s">
        <v>28</v>
      </c>
      <c r="G50" s="40"/>
      <c r="H50" s="40"/>
      <c r="I50" s="40"/>
      <c r="J50" s="40"/>
      <c r="K50" s="40"/>
      <c r="L50" s="40"/>
      <c r="M50" s="111"/>
      <c r="N50" s="103">
        <v>116.15</v>
      </c>
      <c r="O50" s="61">
        <f>N50*D50</f>
        <v>8362.8000000000011</v>
      </c>
    </row>
    <row r="51" spans="1:18" x14ac:dyDescent="0.3">
      <c r="A51" s="33"/>
      <c r="B51" s="65"/>
      <c r="C51" s="66"/>
      <c r="D51" s="64"/>
      <c r="E51" s="67"/>
      <c r="F51" s="23"/>
      <c r="G51" s="40"/>
      <c r="H51" s="40"/>
      <c r="I51" s="40"/>
      <c r="J51" s="40"/>
      <c r="K51" s="40"/>
      <c r="L51" s="40"/>
      <c r="M51" s="111"/>
      <c r="N51" s="103"/>
      <c r="O51" s="61"/>
    </row>
    <row r="52" spans="1:18" x14ac:dyDescent="0.3">
      <c r="A52" s="33"/>
      <c r="B52" s="65">
        <v>601</v>
      </c>
      <c r="C52" s="125" t="s">
        <v>240</v>
      </c>
      <c r="D52" s="59">
        <f>D394</f>
        <v>134</v>
      </c>
      <c r="E52" s="67" t="s">
        <v>24</v>
      </c>
      <c r="F52" s="124" t="s">
        <v>241</v>
      </c>
      <c r="G52" s="40"/>
      <c r="H52" s="40"/>
      <c r="I52" s="40"/>
      <c r="J52" s="40"/>
      <c r="K52" s="40"/>
      <c r="L52" s="40"/>
      <c r="M52" s="111"/>
      <c r="N52" s="103">
        <v>117.5</v>
      </c>
      <c r="O52" s="61">
        <f>N52*D52</f>
        <v>15745</v>
      </c>
    </row>
    <row r="53" spans="1:18" x14ac:dyDescent="0.3">
      <c r="A53" s="33"/>
      <c r="B53" s="65"/>
      <c r="C53" s="125"/>
      <c r="D53" s="59"/>
      <c r="E53" s="67"/>
      <c r="F53" s="124"/>
      <c r="G53" s="40"/>
      <c r="H53" s="40"/>
      <c r="I53" s="40"/>
      <c r="J53" s="40"/>
      <c r="K53" s="40"/>
      <c r="L53" s="40"/>
      <c r="M53" s="111"/>
      <c r="N53" s="103"/>
      <c r="O53" s="61"/>
    </row>
    <row r="54" spans="1:18" x14ac:dyDescent="0.3">
      <c r="A54" s="33"/>
      <c r="B54" s="65">
        <v>625</v>
      </c>
      <c r="C54" s="134" t="s">
        <v>279</v>
      </c>
      <c r="D54" s="59">
        <v>1</v>
      </c>
      <c r="E54" s="135" t="s">
        <v>280</v>
      </c>
      <c r="F54" s="136" t="s">
        <v>281</v>
      </c>
      <c r="G54" s="40"/>
      <c r="H54" s="40"/>
      <c r="I54" s="40"/>
      <c r="J54" s="40"/>
      <c r="K54" s="40"/>
      <c r="L54" s="40"/>
      <c r="M54" s="111"/>
      <c r="N54" s="103">
        <v>9176.9</v>
      </c>
      <c r="O54" s="61">
        <f t="shared" ref="O54" si="1">N54*D54</f>
        <v>9176.9</v>
      </c>
    </row>
    <row r="55" spans="1:18" x14ac:dyDescent="0.3">
      <c r="A55" s="33"/>
      <c r="B55" s="58"/>
      <c r="C55" s="24"/>
      <c r="D55" s="59"/>
      <c r="E55" s="60"/>
      <c r="F55" s="23"/>
      <c r="G55" s="40"/>
      <c r="H55" s="40"/>
      <c r="I55" s="40"/>
      <c r="J55" s="40"/>
      <c r="K55" s="40"/>
      <c r="L55" s="40"/>
      <c r="M55" s="111"/>
      <c r="N55" s="103"/>
      <c r="O55" s="61"/>
    </row>
    <row r="56" spans="1:18" ht="15" hidden="1" thickBot="1" x14ac:dyDescent="0.35">
      <c r="B56" s="140" t="s">
        <v>32</v>
      </c>
      <c r="C56" s="48"/>
      <c r="D56" s="141"/>
      <c r="E56" s="48"/>
      <c r="F56" s="48"/>
      <c r="G56" s="48"/>
      <c r="H56" s="48"/>
      <c r="I56" s="48"/>
      <c r="J56" s="48"/>
      <c r="K56" s="48"/>
      <c r="L56" s="48"/>
      <c r="M56" s="142"/>
      <c r="N56" s="48"/>
      <c r="O56" s="143">
        <f>SUM(O15:O55)</f>
        <v>1135348.5068954029</v>
      </c>
      <c r="P56" s="5"/>
    </row>
    <row r="57" spans="1:18" x14ac:dyDescent="0.3">
      <c r="B57" s="78"/>
      <c r="C57" s="78"/>
      <c r="E57" s="78"/>
      <c r="F57" s="78"/>
      <c r="G57" s="78"/>
      <c r="H57" s="78"/>
      <c r="I57" s="78"/>
      <c r="J57" s="78"/>
      <c r="K57" s="78"/>
      <c r="L57" s="78"/>
      <c r="M57" s="78"/>
      <c r="N57" s="79"/>
      <c r="O57" s="78"/>
    </row>
    <row r="58" spans="1:18" x14ac:dyDescent="0.3">
      <c r="B58" s="16" t="s">
        <v>88</v>
      </c>
      <c r="C58" s="78"/>
      <c r="E58" s="78"/>
      <c r="F58" s="78"/>
      <c r="G58" s="78"/>
      <c r="H58" s="78"/>
      <c r="I58" s="78"/>
      <c r="J58" s="78"/>
      <c r="K58" s="78"/>
      <c r="L58" s="78"/>
      <c r="M58" s="78"/>
      <c r="N58" s="79"/>
      <c r="O58" s="78"/>
    </row>
    <row r="59" spans="1:18" x14ac:dyDescent="0.3">
      <c r="B59" s="78"/>
      <c r="C59" s="78"/>
      <c r="D59" s="80">
        <v>77.33</v>
      </c>
      <c r="E59" s="28" t="s">
        <v>34</v>
      </c>
      <c r="F59" s="28" t="s">
        <v>35</v>
      </c>
      <c r="G59" s="78"/>
      <c r="H59" s="78"/>
      <c r="I59" s="78"/>
      <c r="J59" s="78"/>
      <c r="K59" s="78"/>
      <c r="L59" s="78"/>
      <c r="M59" s="78"/>
      <c r="N59" s="79"/>
      <c r="O59" s="78"/>
    </row>
    <row r="60" spans="1:18" x14ac:dyDescent="0.3">
      <c r="B60" s="78"/>
      <c r="C60" s="78"/>
      <c r="D60" s="100">
        <v>36.125</v>
      </c>
      <c r="E60" s="28" t="s">
        <v>34</v>
      </c>
      <c r="F60" s="28" t="s">
        <v>36</v>
      </c>
      <c r="G60" s="78"/>
      <c r="H60" s="78"/>
      <c r="I60" s="78"/>
      <c r="J60" s="78"/>
      <c r="K60" s="78"/>
      <c r="L60" s="78"/>
      <c r="M60" s="78"/>
      <c r="N60" s="79"/>
      <c r="O60" s="78"/>
    </row>
    <row r="61" spans="1:18" x14ac:dyDescent="0.3">
      <c r="B61" s="78"/>
      <c r="C61" s="78"/>
      <c r="D61" s="80">
        <v>36.125</v>
      </c>
      <c r="E61" s="28" t="s">
        <v>34</v>
      </c>
      <c r="F61" s="28" t="s">
        <v>89</v>
      </c>
      <c r="G61" s="78"/>
      <c r="H61" s="78"/>
      <c r="I61" s="78"/>
      <c r="J61" s="78"/>
      <c r="K61" s="78"/>
      <c r="L61" s="78"/>
      <c r="M61" s="78"/>
      <c r="N61" s="79"/>
      <c r="O61" s="78"/>
    </row>
    <row r="62" spans="1:18" x14ac:dyDescent="0.3">
      <c r="B62" s="78"/>
      <c r="C62" s="78"/>
      <c r="D62" s="80">
        <v>0</v>
      </c>
      <c r="E62" s="28" t="s">
        <v>106</v>
      </c>
      <c r="F62" s="28" t="s">
        <v>74</v>
      </c>
      <c r="G62" s="78"/>
      <c r="H62" s="78"/>
      <c r="I62" s="78"/>
      <c r="J62" s="78"/>
      <c r="K62" s="78"/>
      <c r="L62" s="78"/>
      <c r="M62" s="78"/>
      <c r="N62" s="79"/>
      <c r="O62" s="78"/>
    </row>
    <row r="63" spans="1:18" x14ac:dyDescent="0.3">
      <c r="B63" s="78"/>
      <c r="C63" s="78"/>
      <c r="D63" s="101"/>
      <c r="E63" s="99"/>
      <c r="F63" s="99"/>
      <c r="G63" s="78"/>
      <c r="H63" s="78"/>
      <c r="I63" s="78"/>
      <c r="J63" s="78"/>
      <c r="K63" s="78"/>
      <c r="L63" s="78"/>
      <c r="M63" s="78"/>
      <c r="N63" s="79"/>
      <c r="O63" s="78"/>
    </row>
    <row r="64" spans="1:18" x14ac:dyDescent="0.3">
      <c r="B64" s="78"/>
      <c r="C64" s="78"/>
      <c r="D64" s="80">
        <v>7.5</v>
      </c>
      <c r="E64" s="28" t="s">
        <v>34</v>
      </c>
      <c r="F64" s="28" t="s">
        <v>93</v>
      </c>
      <c r="G64" s="78"/>
      <c r="H64" s="78"/>
      <c r="I64" s="78"/>
      <c r="J64" s="78"/>
      <c r="K64" s="78"/>
      <c r="L64" s="78"/>
      <c r="M64" s="78"/>
      <c r="N64" s="79"/>
      <c r="O64" s="78"/>
      <c r="R64" s="81"/>
    </row>
    <row r="65" spans="2:18" x14ac:dyDescent="0.3">
      <c r="B65" s="78"/>
      <c r="C65" s="78"/>
      <c r="D65" s="80">
        <v>8.5</v>
      </c>
      <c r="E65" s="28" t="s">
        <v>34</v>
      </c>
      <c r="F65" s="28" t="s">
        <v>93</v>
      </c>
      <c r="G65" s="78"/>
      <c r="H65" s="78"/>
      <c r="I65" s="78"/>
      <c r="J65" s="78"/>
      <c r="K65" s="78"/>
      <c r="L65" s="78"/>
      <c r="M65" s="78"/>
      <c r="N65" s="79"/>
      <c r="O65" s="78"/>
      <c r="R65" s="81"/>
    </row>
    <row r="66" spans="2:18" x14ac:dyDescent="0.3">
      <c r="B66" s="78"/>
      <c r="C66" s="78"/>
      <c r="D66" s="80">
        <v>5</v>
      </c>
      <c r="E66" s="28" t="s">
        <v>37</v>
      </c>
      <c r="F66" s="28" t="s">
        <v>96</v>
      </c>
      <c r="G66" s="78"/>
      <c r="H66" s="78"/>
      <c r="I66" s="78"/>
      <c r="J66" s="78"/>
      <c r="K66" s="78"/>
      <c r="L66" s="78"/>
      <c r="M66" s="78"/>
      <c r="N66" s="79"/>
      <c r="O66" s="78"/>
      <c r="R66" s="81"/>
    </row>
    <row r="67" spans="2:18" x14ac:dyDescent="0.3">
      <c r="B67" s="78"/>
      <c r="C67" s="78"/>
      <c r="D67" s="80">
        <v>2</v>
      </c>
      <c r="E67" s="28" t="s">
        <v>34</v>
      </c>
      <c r="F67" s="28" t="s">
        <v>95</v>
      </c>
      <c r="G67" s="78"/>
      <c r="H67" s="78"/>
      <c r="I67" s="78"/>
      <c r="J67" s="78"/>
      <c r="K67" s="78"/>
      <c r="L67" s="78"/>
      <c r="M67" s="78"/>
      <c r="N67" s="79"/>
      <c r="O67" s="78"/>
      <c r="R67" s="81"/>
    </row>
    <row r="68" spans="2:18" x14ac:dyDescent="0.3">
      <c r="B68" s="78"/>
      <c r="C68" s="78"/>
      <c r="D68" s="82">
        <f>D61-D67-2*D64-2*D65</f>
        <v>2.125</v>
      </c>
      <c r="E68" s="28" t="s">
        <v>34</v>
      </c>
      <c r="F68" s="28" t="s">
        <v>95</v>
      </c>
      <c r="G68" s="78"/>
      <c r="H68" s="78"/>
      <c r="I68" s="78"/>
      <c r="J68" s="78"/>
      <c r="K68" s="78"/>
      <c r="L68" s="78"/>
      <c r="M68" s="78"/>
      <c r="N68" s="79"/>
      <c r="O68" s="78"/>
      <c r="R68" s="81"/>
    </row>
    <row r="69" spans="2:18" x14ac:dyDescent="0.3">
      <c r="B69" s="78"/>
      <c r="C69" s="78"/>
      <c r="D69" s="80">
        <v>8.5</v>
      </c>
      <c r="E69" s="28" t="s">
        <v>39</v>
      </c>
      <c r="F69" s="28" t="s">
        <v>45</v>
      </c>
      <c r="G69" s="78"/>
      <c r="H69" s="78"/>
      <c r="I69" s="78"/>
      <c r="J69" s="78"/>
      <c r="K69" s="78"/>
      <c r="L69" s="78"/>
      <c r="M69" s="78"/>
      <c r="N69" s="79"/>
      <c r="O69" s="78"/>
      <c r="R69" s="81"/>
    </row>
    <row r="70" spans="2:18" x14ac:dyDescent="0.3">
      <c r="B70" s="78"/>
      <c r="C70" s="78"/>
      <c r="D70" s="80">
        <v>20</v>
      </c>
      <c r="E70" s="28" t="s">
        <v>39</v>
      </c>
      <c r="F70" s="28" t="s">
        <v>102</v>
      </c>
      <c r="G70" s="78"/>
      <c r="H70" s="78"/>
      <c r="I70" s="78"/>
      <c r="J70" s="78"/>
      <c r="K70" s="78"/>
      <c r="L70" s="78"/>
      <c r="M70" s="78"/>
      <c r="N70" s="79"/>
      <c r="O70" s="78"/>
      <c r="R70" s="81"/>
    </row>
    <row r="71" spans="2:18" x14ac:dyDescent="0.3">
      <c r="B71" s="78"/>
      <c r="C71" s="78"/>
      <c r="E71" s="78"/>
      <c r="F71" s="78"/>
      <c r="G71" s="78"/>
      <c r="H71" s="78"/>
      <c r="I71" s="78"/>
      <c r="J71" s="78"/>
      <c r="K71" s="78"/>
      <c r="L71" s="78"/>
      <c r="M71" s="78"/>
      <c r="N71" s="79"/>
      <c r="O71" s="78"/>
      <c r="R71" s="81"/>
    </row>
    <row r="72" spans="2:18" x14ac:dyDescent="0.3">
      <c r="B72" s="78"/>
      <c r="C72" s="78"/>
      <c r="D72" s="80">
        <v>14</v>
      </c>
      <c r="E72" s="28" t="s">
        <v>39</v>
      </c>
      <c r="F72" s="28" t="s">
        <v>201</v>
      </c>
      <c r="G72" s="78"/>
      <c r="H72" s="78"/>
      <c r="I72" s="78"/>
      <c r="J72" s="78"/>
      <c r="K72" s="78"/>
      <c r="L72" s="78"/>
      <c r="M72" s="78"/>
      <c r="N72" s="79"/>
      <c r="O72" s="78"/>
    </row>
    <row r="73" spans="2:18" x14ac:dyDescent="0.3">
      <c r="B73" s="78"/>
      <c r="C73" s="78"/>
      <c r="D73" s="80">
        <v>45</v>
      </c>
      <c r="E73" s="28" t="s">
        <v>39</v>
      </c>
      <c r="F73" s="28" t="s">
        <v>90</v>
      </c>
      <c r="G73" s="78"/>
      <c r="H73" s="78"/>
      <c r="I73" s="78"/>
      <c r="J73" s="78"/>
      <c r="K73" s="78"/>
      <c r="L73" s="78"/>
      <c r="M73" s="78"/>
      <c r="N73" s="79"/>
      <c r="O73" s="78"/>
    </row>
    <row r="74" spans="2:18" x14ac:dyDescent="0.3">
      <c r="B74" s="78"/>
      <c r="C74" s="78"/>
      <c r="D74" s="80">
        <v>2</v>
      </c>
      <c r="E74" s="28" t="s">
        <v>39</v>
      </c>
      <c r="F74" s="28" t="s">
        <v>91</v>
      </c>
      <c r="G74" s="78"/>
      <c r="H74" s="78"/>
      <c r="I74" s="78"/>
      <c r="J74" s="78"/>
      <c r="K74" s="78"/>
      <c r="L74" s="78"/>
      <c r="M74" s="78"/>
      <c r="N74" s="79"/>
      <c r="O74" s="78"/>
    </row>
    <row r="75" spans="2:18" x14ac:dyDescent="0.3">
      <c r="B75" s="78"/>
      <c r="C75" s="78"/>
      <c r="D75" s="82">
        <f>(D69+D72+D73+D74)/12</f>
        <v>5.791666666666667</v>
      </c>
      <c r="E75" s="28" t="s">
        <v>34</v>
      </c>
      <c r="F75" s="28" t="s">
        <v>92</v>
      </c>
      <c r="G75" s="78"/>
      <c r="H75" s="78"/>
      <c r="I75" s="78"/>
      <c r="J75" s="78"/>
      <c r="K75" s="78"/>
      <c r="L75" s="78"/>
      <c r="M75" s="78"/>
      <c r="N75" s="79"/>
      <c r="O75" s="78"/>
    </row>
    <row r="76" spans="2:18" x14ac:dyDescent="0.3">
      <c r="B76" s="78"/>
      <c r="C76" s="78"/>
      <c r="D76" s="80">
        <v>0</v>
      </c>
      <c r="E76" s="28" t="s">
        <v>34</v>
      </c>
      <c r="F76" s="28" t="s">
        <v>97</v>
      </c>
      <c r="G76" s="78"/>
      <c r="H76" s="78"/>
      <c r="I76" s="78"/>
      <c r="J76" s="78"/>
      <c r="K76" s="78"/>
      <c r="L76" s="78"/>
      <c r="M76" s="78"/>
      <c r="N76" s="79"/>
      <c r="O76" s="78"/>
    </row>
    <row r="77" spans="2:18" x14ac:dyDescent="0.3">
      <c r="B77" s="78"/>
      <c r="C77" s="78"/>
      <c r="D77" s="82" t="s">
        <v>200</v>
      </c>
      <c r="E77" s="28" t="s">
        <v>34</v>
      </c>
      <c r="F77" s="28" t="s">
        <v>94</v>
      </c>
      <c r="G77" s="78"/>
      <c r="H77" s="78"/>
      <c r="I77" s="83"/>
      <c r="J77" s="78"/>
      <c r="K77" s="78"/>
      <c r="L77" s="78"/>
      <c r="M77" s="78"/>
      <c r="N77" s="79"/>
      <c r="O77" s="78"/>
    </row>
    <row r="78" spans="2:18" x14ac:dyDescent="0.3">
      <c r="B78" s="78"/>
      <c r="C78" s="78"/>
      <c r="D78" s="82">
        <v>44.29</v>
      </c>
      <c r="E78" s="28" t="s">
        <v>34</v>
      </c>
      <c r="F78" s="28" t="s">
        <v>197</v>
      </c>
      <c r="G78" s="78"/>
      <c r="H78" s="78"/>
      <c r="I78" s="78"/>
      <c r="J78" s="78"/>
      <c r="K78" s="78"/>
      <c r="L78" s="78"/>
      <c r="M78" s="78"/>
      <c r="N78" s="79"/>
      <c r="O78" s="78"/>
    </row>
    <row r="79" spans="2:18" x14ac:dyDescent="0.3">
      <c r="B79" s="78"/>
      <c r="C79" s="78"/>
      <c r="D79" s="82"/>
      <c r="G79" s="78"/>
      <c r="H79" s="78"/>
      <c r="I79" s="78"/>
      <c r="J79" s="78"/>
      <c r="K79" s="78"/>
      <c r="L79" s="78"/>
      <c r="M79" s="78"/>
      <c r="N79" s="79"/>
      <c r="O79" s="78"/>
    </row>
    <row r="80" spans="2:18" x14ac:dyDescent="0.3">
      <c r="B80" s="78"/>
      <c r="C80" s="78"/>
      <c r="D80" s="82"/>
      <c r="G80" s="78"/>
      <c r="H80" s="78"/>
      <c r="I80" s="78"/>
      <c r="J80" s="78"/>
      <c r="K80" s="78"/>
      <c r="L80" s="78"/>
      <c r="M80" s="78"/>
      <c r="N80" s="79"/>
      <c r="O80" s="78"/>
    </row>
    <row r="81" spans="2:15" x14ac:dyDescent="0.3">
      <c r="B81" s="78"/>
      <c r="C81" s="78"/>
      <c r="D81" s="80">
        <v>20</v>
      </c>
      <c r="E81" s="28" t="s">
        <v>34</v>
      </c>
      <c r="F81" s="28" t="s">
        <v>64</v>
      </c>
      <c r="G81" s="78"/>
      <c r="H81" s="78"/>
      <c r="I81" s="78"/>
      <c r="J81" s="78"/>
      <c r="K81" s="78"/>
      <c r="L81" s="78"/>
      <c r="M81" s="78"/>
      <c r="N81" s="79"/>
      <c r="O81" s="78"/>
    </row>
    <row r="82" spans="2:15" x14ac:dyDescent="0.3">
      <c r="B82" s="78"/>
      <c r="C82" s="78"/>
      <c r="D82" s="82"/>
      <c r="G82" s="78"/>
      <c r="H82" s="78"/>
      <c r="I82" s="78"/>
      <c r="J82" s="78"/>
      <c r="K82" s="78"/>
      <c r="L82" s="78"/>
      <c r="M82" s="78"/>
      <c r="N82" s="79"/>
      <c r="O82" s="78"/>
    </row>
    <row r="83" spans="2:15" x14ac:dyDescent="0.3">
      <c r="B83" s="78"/>
      <c r="C83" s="78"/>
      <c r="E83" s="78"/>
      <c r="F83" s="78"/>
      <c r="G83" s="78"/>
      <c r="H83" s="78"/>
      <c r="I83" s="78"/>
      <c r="J83" s="78"/>
      <c r="K83" s="78"/>
      <c r="L83" s="78"/>
      <c r="M83" s="78"/>
      <c r="N83" s="79"/>
      <c r="O83" s="78"/>
    </row>
    <row r="84" spans="2:15" x14ac:dyDescent="0.3">
      <c r="B84" s="6">
        <f>B16</f>
        <v>202</v>
      </c>
      <c r="C84" s="6">
        <f>C16</f>
        <v>22900</v>
      </c>
      <c r="D84" s="8">
        <f>ROUNDUP(D90,0)</f>
        <v>212</v>
      </c>
      <c r="E84" s="6" t="str">
        <f>E16</f>
        <v>SY</v>
      </c>
      <c r="F84" s="22" t="str">
        <f>F16</f>
        <v>APPROACH SLAB REMOVED</v>
      </c>
      <c r="G84" s="84"/>
      <c r="H84" s="84"/>
      <c r="I84" s="84"/>
      <c r="J84" s="84"/>
      <c r="K84" s="84"/>
      <c r="L84" s="84"/>
      <c r="M84" s="84"/>
      <c r="N84" s="85"/>
      <c r="O84" s="84"/>
    </row>
    <row r="85" spans="2:15" x14ac:dyDescent="0.3">
      <c r="B85" s="78"/>
      <c r="C85" s="78"/>
      <c r="D85" s="80">
        <v>25</v>
      </c>
      <c r="E85" s="28" t="s">
        <v>34</v>
      </c>
      <c r="F85" s="28" t="s">
        <v>147</v>
      </c>
      <c r="G85" s="78"/>
      <c r="H85" s="78"/>
      <c r="I85" s="78"/>
      <c r="J85" s="78"/>
      <c r="K85" s="78"/>
      <c r="L85" s="78"/>
      <c r="M85" s="78"/>
      <c r="N85" s="79"/>
      <c r="O85" s="78"/>
    </row>
    <row r="86" spans="2:15" x14ac:dyDescent="0.3">
      <c r="B86" s="78"/>
      <c r="C86" s="78"/>
      <c r="D86" s="80">
        <v>38</v>
      </c>
      <c r="E86" s="28" t="s">
        <v>34</v>
      </c>
      <c r="F86" s="28" t="s">
        <v>148</v>
      </c>
      <c r="G86" s="78"/>
      <c r="H86" s="78"/>
      <c r="I86" s="78"/>
      <c r="J86" s="78"/>
      <c r="K86" s="78"/>
      <c r="L86" s="78"/>
      <c r="M86" s="78"/>
      <c r="N86" s="79"/>
      <c r="O86" s="78"/>
    </row>
    <row r="87" spans="2:15" x14ac:dyDescent="0.3">
      <c r="B87" s="78"/>
      <c r="C87" s="78"/>
      <c r="D87" s="80">
        <v>2</v>
      </c>
      <c r="E87" s="28" t="s">
        <v>37</v>
      </c>
      <c r="F87" s="28" t="s">
        <v>71</v>
      </c>
      <c r="G87" s="78"/>
      <c r="H87" s="78"/>
      <c r="I87" s="78"/>
      <c r="J87" s="78"/>
      <c r="K87" s="78"/>
      <c r="L87" s="78"/>
      <c r="M87" s="78"/>
      <c r="N87" s="79"/>
      <c r="O87" s="78"/>
    </row>
    <row r="88" spans="2:15" x14ac:dyDescent="0.3">
      <c r="B88" s="78"/>
      <c r="C88" s="78"/>
      <c r="D88" s="82"/>
      <c r="G88" s="78"/>
      <c r="H88" s="78"/>
      <c r="I88" s="78"/>
      <c r="J88" s="78"/>
      <c r="K88" s="78"/>
      <c r="L88" s="78"/>
      <c r="M88" s="78"/>
      <c r="N88" s="79"/>
      <c r="O88" s="78"/>
    </row>
    <row r="89" spans="2:15" x14ac:dyDescent="0.3">
      <c r="B89" s="78"/>
      <c r="C89" s="78"/>
      <c r="D89" s="82">
        <f>D85*D86*D87</f>
        <v>1900</v>
      </c>
      <c r="E89" s="28" t="s">
        <v>66</v>
      </c>
      <c r="F89" s="28" t="s">
        <v>127</v>
      </c>
      <c r="G89" s="78"/>
      <c r="H89" s="78"/>
      <c r="I89" s="78"/>
      <c r="J89" s="78"/>
      <c r="K89" s="78"/>
      <c r="L89" s="78"/>
      <c r="M89" s="78"/>
      <c r="N89" s="79"/>
      <c r="O89" s="78"/>
    </row>
    <row r="90" spans="2:15" x14ac:dyDescent="0.3">
      <c r="B90" s="78"/>
      <c r="C90" s="78"/>
      <c r="D90" s="9">
        <f>D89/9</f>
        <v>211.11111111111111</v>
      </c>
      <c r="E90" s="10" t="s">
        <v>69</v>
      </c>
      <c r="F90" s="10" t="s">
        <v>44</v>
      </c>
      <c r="G90" s="78"/>
      <c r="H90" s="78"/>
      <c r="I90" s="78"/>
      <c r="J90" s="78"/>
      <c r="K90" s="78"/>
      <c r="L90" s="78"/>
      <c r="M90" s="78"/>
      <c r="N90" s="79"/>
      <c r="O90" s="78"/>
    </row>
    <row r="91" spans="2:15" x14ac:dyDescent="0.3">
      <c r="B91" s="78"/>
      <c r="C91" s="78"/>
      <c r="D91" s="9"/>
      <c r="E91" s="10"/>
      <c r="F91" s="10"/>
      <c r="G91" s="78"/>
      <c r="H91" s="78"/>
      <c r="I91" s="78"/>
      <c r="J91" s="78"/>
      <c r="K91" s="78"/>
      <c r="L91" s="78"/>
      <c r="M91" s="78"/>
      <c r="N91" s="79"/>
      <c r="O91" s="78"/>
    </row>
    <row r="92" spans="2:15" x14ac:dyDescent="0.3">
      <c r="B92" s="6">
        <f>B18</f>
        <v>203</v>
      </c>
      <c r="C92" s="6">
        <f>C18</f>
        <v>10000</v>
      </c>
      <c r="D92" s="8">
        <f>ROUNDUP(D119,0)</f>
        <v>167</v>
      </c>
      <c r="E92" s="6" t="str">
        <f>E18</f>
        <v>CY</v>
      </c>
      <c r="F92" s="22" t="str">
        <f>F18</f>
        <v>EXCAVATION</v>
      </c>
      <c r="G92" s="84"/>
      <c r="H92" s="84"/>
      <c r="I92" s="84"/>
      <c r="J92" s="84"/>
      <c r="K92" s="84"/>
      <c r="L92" s="84"/>
      <c r="M92" s="84"/>
      <c r="N92" s="85"/>
      <c r="O92" s="84"/>
    </row>
    <row r="93" spans="2:15" x14ac:dyDescent="0.3">
      <c r="B93" s="78"/>
      <c r="C93" s="78" t="s">
        <v>171</v>
      </c>
      <c r="D93" s="80">
        <v>1.91</v>
      </c>
      <c r="E93" s="28" t="s">
        <v>170</v>
      </c>
      <c r="F93" s="28" t="s">
        <v>178</v>
      </c>
      <c r="G93" s="78"/>
      <c r="H93" s="78"/>
      <c r="I93" s="78"/>
      <c r="J93" s="78"/>
      <c r="K93" s="78"/>
      <c r="L93" s="78"/>
      <c r="M93" s="78"/>
      <c r="N93" s="79"/>
      <c r="O93" s="78"/>
    </row>
    <row r="94" spans="2:15" x14ac:dyDescent="0.3">
      <c r="B94" s="78"/>
      <c r="C94" s="78"/>
      <c r="D94" s="80">
        <v>0</v>
      </c>
      <c r="E94" s="28" t="s">
        <v>170</v>
      </c>
      <c r="F94" s="28" t="s">
        <v>179</v>
      </c>
      <c r="G94" s="78"/>
      <c r="H94" s="78"/>
      <c r="I94" s="78"/>
      <c r="J94" s="78"/>
      <c r="K94" s="78"/>
      <c r="L94" s="78"/>
      <c r="M94" s="78"/>
      <c r="N94" s="79"/>
      <c r="O94" s="78"/>
    </row>
    <row r="95" spans="2:15" x14ac:dyDescent="0.3">
      <c r="B95" s="78"/>
      <c r="C95" s="78"/>
      <c r="D95" s="80">
        <v>48</v>
      </c>
      <c r="E95" s="28" t="s">
        <v>34</v>
      </c>
      <c r="F95" s="28" t="s">
        <v>180</v>
      </c>
      <c r="G95" s="78"/>
      <c r="H95" s="78"/>
      <c r="I95" s="78"/>
      <c r="J95" s="78"/>
      <c r="K95" s="78"/>
      <c r="L95" s="78"/>
      <c r="M95" s="78"/>
      <c r="N95" s="79"/>
      <c r="O95" s="78"/>
    </row>
    <row r="96" spans="2:15" x14ac:dyDescent="0.3">
      <c r="B96" s="78"/>
      <c r="C96" s="78"/>
      <c r="D96" s="82">
        <f>(D93+D94)*D95</f>
        <v>91.679999999999993</v>
      </c>
      <c r="E96" s="28" t="s">
        <v>176</v>
      </c>
      <c r="F96" s="28" t="s">
        <v>76</v>
      </c>
      <c r="G96" s="78"/>
      <c r="H96" s="78"/>
      <c r="I96" s="78"/>
      <c r="J96" s="78"/>
      <c r="K96" s="78"/>
      <c r="L96" s="78"/>
      <c r="M96" s="78"/>
      <c r="N96" s="79"/>
      <c r="O96" s="78"/>
    </row>
    <row r="97" spans="2:15" x14ac:dyDescent="0.3">
      <c r="B97" s="78"/>
      <c r="C97" s="78"/>
      <c r="D97" s="28"/>
      <c r="G97" s="78"/>
      <c r="H97" s="78"/>
      <c r="I97" s="78"/>
      <c r="J97" s="78"/>
      <c r="K97" s="78"/>
      <c r="L97" s="78"/>
      <c r="M97" s="78"/>
      <c r="N97" s="79"/>
      <c r="O97" s="78"/>
    </row>
    <row r="98" spans="2:15" x14ac:dyDescent="0.3">
      <c r="B98" s="78"/>
      <c r="C98" s="78" t="s">
        <v>173</v>
      </c>
      <c r="D98" s="80">
        <v>2.8729</v>
      </c>
      <c r="E98" s="28" t="s">
        <v>170</v>
      </c>
      <c r="F98" s="131" t="s">
        <v>262</v>
      </c>
      <c r="G98" s="78"/>
      <c r="H98" s="78"/>
      <c r="I98" s="78"/>
      <c r="J98" s="78"/>
      <c r="K98" s="78"/>
      <c r="L98" s="78"/>
      <c r="M98" s="78"/>
      <c r="N98" s="79"/>
      <c r="O98" s="78"/>
    </row>
    <row r="99" spans="2:15" x14ac:dyDescent="0.3">
      <c r="B99" s="78"/>
      <c r="C99" s="78"/>
      <c r="D99" s="80">
        <v>75.94</v>
      </c>
      <c r="F99" s="131" t="s">
        <v>261</v>
      </c>
      <c r="G99" s="78"/>
      <c r="H99" s="78"/>
      <c r="I99" s="78"/>
      <c r="J99" s="78"/>
      <c r="K99" s="78"/>
      <c r="L99" s="78"/>
      <c r="M99" s="78"/>
      <c r="N99" s="79"/>
      <c r="O99" s="78"/>
    </row>
    <row r="100" spans="2:15" x14ac:dyDescent="0.3">
      <c r="B100" s="78"/>
      <c r="C100" s="78"/>
      <c r="D100" s="80">
        <f>D78</f>
        <v>44.29</v>
      </c>
      <c r="F100" s="131" t="s">
        <v>264</v>
      </c>
      <c r="G100" s="78"/>
      <c r="H100" s="78"/>
      <c r="I100" s="78"/>
      <c r="J100" s="78"/>
      <c r="K100" s="78"/>
      <c r="L100" s="78"/>
      <c r="M100" s="78"/>
      <c r="N100" s="79"/>
      <c r="O100" s="78"/>
    </row>
    <row r="101" spans="2:15" x14ac:dyDescent="0.3">
      <c r="B101" s="78"/>
      <c r="C101" s="78"/>
      <c r="D101" s="80">
        <v>27</v>
      </c>
      <c r="E101" s="28" t="s">
        <v>34</v>
      </c>
      <c r="F101" s="28" t="s">
        <v>181</v>
      </c>
      <c r="G101" s="78"/>
      <c r="H101" s="78"/>
      <c r="I101" s="78"/>
      <c r="J101" s="78"/>
      <c r="K101" s="78"/>
      <c r="L101" s="78"/>
      <c r="M101" s="78"/>
      <c r="N101" s="79"/>
      <c r="O101" s="78"/>
    </row>
    <row r="102" spans="2:15" x14ac:dyDescent="0.3">
      <c r="B102" s="78"/>
      <c r="C102" s="78"/>
      <c r="D102" s="82">
        <f>(D98*D100)+(D99*D101)</f>
        <v>2177.6207410000002</v>
      </c>
      <c r="E102" s="28" t="s">
        <v>176</v>
      </c>
      <c r="F102" s="28" t="s">
        <v>76</v>
      </c>
      <c r="G102" s="78"/>
      <c r="H102" s="78"/>
      <c r="I102" s="78"/>
      <c r="J102" s="78"/>
      <c r="K102" s="78"/>
      <c r="L102" s="78"/>
      <c r="M102" s="78"/>
      <c r="N102" s="79"/>
      <c r="O102" s="78"/>
    </row>
    <row r="103" spans="2:15" x14ac:dyDescent="0.3">
      <c r="B103" s="78"/>
      <c r="C103" s="78"/>
      <c r="D103" s="9"/>
      <c r="E103" s="10"/>
      <c r="G103" s="78"/>
      <c r="H103" s="78"/>
      <c r="I103" s="78"/>
      <c r="J103" s="78"/>
      <c r="K103" s="78"/>
      <c r="L103" s="78"/>
      <c r="M103" s="78"/>
      <c r="N103" s="79"/>
      <c r="O103" s="78"/>
    </row>
    <row r="104" spans="2:15" x14ac:dyDescent="0.3">
      <c r="B104" s="78"/>
      <c r="C104" s="78" t="s">
        <v>172</v>
      </c>
      <c r="D104" s="80">
        <v>3.1194000000000002</v>
      </c>
      <c r="E104" s="28" t="s">
        <v>170</v>
      </c>
      <c r="F104" s="28" t="s">
        <v>178</v>
      </c>
      <c r="G104" s="78"/>
      <c r="H104" s="78"/>
      <c r="I104" s="78"/>
      <c r="J104" s="78"/>
      <c r="K104" s="78"/>
      <c r="L104" s="78"/>
      <c r="M104" s="78"/>
      <c r="N104" s="79"/>
      <c r="O104" s="78"/>
    </row>
    <row r="105" spans="2:15" x14ac:dyDescent="0.3">
      <c r="B105" s="78"/>
      <c r="C105" s="78"/>
      <c r="D105" s="80">
        <v>0</v>
      </c>
      <c r="E105" s="28" t="s">
        <v>170</v>
      </c>
      <c r="F105" s="28" t="s">
        <v>179</v>
      </c>
      <c r="G105" s="78"/>
      <c r="H105" s="78"/>
      <c r="I105" s="78"/>
      <c r="J105" s="78"/>
      <c r="K105" s="78"/>
      <c r="L105" s="78"/>
      <c r="M105" s="78"/>
      <c r="N105" s="79"/>
      <c r="O105" s="78"/>
    </row>
    <row r="106" spans="2:15" x14ac:dyDescent="0.3">
      <c r="B106" s="78"/>
      <c r="C106" s="78"/>
      <c r="D106" s="80">
        <v>48</v>
      </c>
      <c r="E106" s="28" t="s">
        <v>34</v>
      </c>
      <c r="F106" s="28" t="s">
        <v>180</v>
      </c>
      <c r="G106" s="78"/>
      <c r="H106" s="78"/>
      <c r="I106" s="78"/>
      <c r="J106" s="78"/>
      <c r="K106" s="78"/>
      <c r="L106" s="78"/>
      <c r="M106" s="78"/>
      <c r="N106" s="79"/>
      <c r="O106" s="78"/>
    </row>
    <row r="107" spans="2:15" x14ac:dyDescent="0.3">
      <c r="B107" s="78"/>
      <c r="C107" s="78"/>
      <c r="D107" s="82">
        <f>(D104+D105)*D106</f>
        <v>149.7312</v>
      </c>
      <c r="E107" s="28" t="s">
        <v>176</v>
      </c>
      <c r="F107" s="28" t="s">
        <v>76</v>
      </c>
      <c r="G107" s="78"/>
      <c r="H107" s="78"/>
      <c r="I107" s="78"/>
      <c r="J107" s="78"/>
      <c r="K107" s="78"/>
      <c r="L107" s="78"/>
      <c r="M107" s="78"/>
      <c r="N107" s="79"/>
      <c r="O107" s="78"/>
    </row>
    <row r="108" spans="2:15" x14ac:dyDescent="0.3">
      <c r="B108" s="78"/>
      <c r="C108" s="78"/>
      <c r="D108" s="9"/>
      <c r="E108" s="10"/>
      <c r="G108" s="78"/>
      <c r="H108" s="78"/>
      <c r="I108" s="78"/>
      <c r="J108" s="78"/>
      <c r="K108" s="78"/>
      <c r="L108" s="78"/>
      <c r="M108" s="78"/>
      <c r="N108" s="79"/>
      <c r="O108" s="78"/>
    </row>
    <row r="109" spans="2:15" x14ac:dyDescent="0.3">
      <c r="B109" s="78"/>
      <c r="C109" s="78" t="s">
        <v>174</v>
      </c>
      <c r="D109" s="80">
        <v>1.9274</v>
      </c>
      <c r="E109" s="28" t="s">
        <v>170</v>
      </c>
      <c r="F109" s="28" t="s">
        <v>109</v>
      </c>
      <c r="G109" s="78"/>
      <c r="H109" s="78"/>
      <c r="I109" s="78"/>
      <c r="J109" s="78"/>
      <c r="K109" s="78"/>
      <c r="L109" s="78"/>
      <c r="M109" s="78"/>
      <c r="N109" s="79"/>
      <c r="O109" s="78"/>
    </row>
    <row r="110" spans="2:15" x14ac:dyDescent="0.3">
      <c r="B110" s="78"/>
      <c r="C110" s="78"/>
      <c r="D110" s="80">
        <v>66.14</v>
      </c>
      <c r="F110" s="131" t="s">
        <v>261</v>
      </c>
      <c r="G110" s="78"/>
      <c r="H110" s="78"/>
      <c r="I110" s="78"/>
      <c r="J110" s="78"/>
      <c r="K110" s="78"/>
      <c r="L110" s="78"/>
      <c r="M110" s="78"/>
      <c r="N110" s="79"/>
      <c r="O110" s="78"/>
    </row>
    <row r="111" spans="2:15" x14ac:dyDescent="0.3">
      <c r="B111" s="78"/>
      <c r="C111" s="78"/>
      <c r="D111" s="80">
        <f>D78</f>
        <v>44.29</v>
      </c>
      <c r="F111" s="131" t="s">
        <v>264</v>
      </c>
      <c r="G111" s="78"/>
      <c r="H111" s="78"/>
      <c r="I111" s="78"/>
      <c r="J111" s="78"/>
      <c r="K111" s="78"/>
      <c r="L111" s="78"/>
      <c r="M111" s="78"/>
      <c r="N111" s="79"/>
      <c r="O111" s="78"/>
    </row>
    <row r="112" spans="2:15" x14ac:dyDescent="0.3">
      <c r="B112" s="78"/>
      <c r="C112" s="78"/>
      <c r="D112" s="80">
        <v>27</v>
      </c>
      <c r="E112" s="28" t="s">
        <v>34</v>
      </c>
      <c r="F112" s="28" t="s">
        <v>181</v>
      </c>
      <c r="G112" s="78"/>
      <c r="H112" s="78"/>
      <c r="I112" s="78"/>
      <c r="J112" s="78"/>
      <c r="K112" s="78"/>
      <c r="L112" s="78"/>
      <c r="M112" s="78"/>
      <c r="N112" s="79"/>
      <c r="O112" s="78"/>
    </row>
    <row r="113" spans="2:15" x14ac:dyDescent="0.3">
      <c r="B113" s="78"/>
      <c r="C113" s="78"/>
      <c r="D113" s="82">
        <f>(D109*D111)+(D110*D112)</f>
        <v>1871.144546</v>
      </c>
      <c r="E113" s="28" t="s">
        <v>176</v>
      </c>
      <c r="F113" s="28" t="s">
        <v>76</v>
      </c>
      <c r="G113" s="78"/>
      <c r="H113" s="78"/>
      <c r="I113" s="78"/>
      <c r="J113" s="78"/>
      <c r="K113" s="78"/>
      <c r="L113" s="78"/>
      <c r="M113" s="78"/>
      <c r="N113" s="79"/>
      <c r="O113" s="78"/>
    </row>
    <row r="114" spans="2:15" x14ac:dyDescent="0.3">
      <c r="B114" s="78"/>
      <c r="C114" s="78"/>
      <c r="D114" s="9"/>
      <c r="E114" s="10"/>
      <c r="G114" s="78"/>
      <c r="H114" s="78"/>
      <c r="I114" s="78"/>
      <c r="J114" s="78"/>
      <c r="K114" s="78"/>
      <c r="L114" s="78"/>
      <c r="M114" s="78"/>
      <c r="N114" s="79"/>
      <c r="O114" s="78"/>
    </row>
    <row r="115" spans="2:15" x14ac:dyDescent="0.3">
      <c r="B115" s="78"/>
      <c r="C115" s="78"/>
      <c r="D115" s="82">
        <f>D96+D102+D107+D113</f>
        <v>4290.1764870000006</v>
      </c>
      <c r="E115" s="28" t="s">
        <v>176</v>
      </c>
      <c r="F115" s="28" t="s">
        <v>67</v>
      </c>
      <c r="G115" s="78"/>
      <c r="H115" s="78"/>
      <c r="I115" s="78"/>
      <c r="J115" s="78"/>
      <c r="K115" s="78"/>
      <c r="L115" s="78"/>
      <c r="M115" s="78"/>
      <c r="N115" s="79"/>
      <c r="O115" s="78"/>
    </row>
    <row r="116" spans="2:15" x14ac:dyDescent="0.3">
      <c r="B116" s="78"/>
      <c r="C116" s="78"/>
      <c r="D116" s="82">
        <f>D115*5%</f>
        <v>214.50882435000005</v>
      </c>
      <c r="E116" s="28" t="s">
        <v>176</v>
      </c>
      <c r="F116" s="86" t="s">
        <v>175</v>
      </c>
      <c r="G116" s="78"/>
      <c r="H116" s="78"/>
      <c r="I116" s="78"/>
      <c r="J116" s="78"/>
      <c r="K116" s="78"/>
      <c r="L116" s="78"/>
      <c r="M116" s="78"/>
      <c r="N116" s="79"/>
      <c r="O116" s="78"/>
    </row>
    <row r="117" spans="2:15" x14ac:dyDescent="0.3">
      <c r="B117" s="78"/>
      <c r="C117" s="78"/>
      <c r="D117" s="82"/>
      <c r="G117" s="78"/>
      <c r="H117" s="78"/>
      <c r="I117" s="78"/>
      <c r="J117" s="78"/>
      <c r="K117" s="78"/>
      <c r="L117" s="78"/>
      <c r="M117" s="78"/>
      <c r="N117" s="79"/>
      <c r="O117" s="78"/>
    </row>
    <row r="118" spans="2:15" x14ac:dyDescent="0.3">
      <c r="B118" s="78"/>
      <c r="C118" s="78"/>
      <c r="D118" s="82">
        <f>D115+D116</f>
        <v>4504.685311350001</v>
      </c>
      <c r="E118" s="28" t="s">
        <v>41</v>
      </c>
      <c r="F118" s="28" t="s">
        <v>44</v>
      </c>
      <c r="G118" s="78"/>
      <c r="H118" s="78"/>
      <c r="I118" s="78"/>
      <c r="J118" s="78"/>
      <c r="K118" s="78"/>
      <c r="L118" s="78"/>
      <c r="M118" s="78"/>
      <c r="N118" s="79"/>
      <c r="O118" s="78"/>
    </row>
    <row r="119" spans="2:15" x14ac:dyDescent="0.3">
      <c r="B119" s="78"/>
      <c r="C119" s="78"/>
      <c r="D119" s="9">
        <f>D118/27</f>
        <v>166.8401967166667</v>
      </c>
      <c r="E119" s="10" t="s">
        <v>177</v>
      </c>
      <c r="F119" s="10" t="s">
        <v>44</v>
      </c>
      <c r="G119" s="78"/>
      <c r="H119" s="78"/>
      <c r="I119" s="78"/>
      <c r="J119" s="78"/>
      <c r="K119" s="78"/>
      <c r="L119" s="78"/>
      <c r="M119" s="78"/>
      <c r="N119" s="79"/>
      <c r="O119" s="78"/>
    </row>
    <row r="120" spans="2:15" x14ac:dyDescent="0.3">
      <c r="B120" s="78"/>
      <c r="C120" s="78"/>
      <c r="D120" s="9"/>
      <c r="E120" s="10"/>
      <c r="F120" s="10"/>
      <c r="G120" s="78"/>
      <c r="H120" s="78"/>
      <c r="I120" s="78"/>
      <c r="J120" s="78"/>
      <c r="K120" s="78"/>
      <c r="L120" s="78"/>
      <c r="M120" s="78"/>
      <c r="N120" s="79"/>
      <c r="O120" s="78"/>
    </row>
    <row r="121" spans="2:15" x14ac:dyDescent="0.3">
      <c r="B121" s="6">
        <f>B19</f>
        <v>203</v>
      </c>
      <c r="C121" s="6" t="str">
        <f>C19</f>
        <v>20001</v>
      </c>
      <c r="D121" s="8">
        <f>D155</f>
        <v>464.70281854407631</v>
      </c>
      <c r="E121" s="6" t="str">
        <f>E19</f>
        <v>CY</v>
      </c>
      <c r="F121" s="22" t="str">
        <f>F19</f>
        <v>EMBANKMENT, AS PER PLAN</v>
      </c>
      <c r="G121" s="84"/>
      <c r="H121" s="84"/>
      <c r="I121" s="84"/>
      <c r="J121" s="84"/>
      <c r="K121" s="84"/>
      <c r="L121" s="84"/>
      <c r="M121" s="84"/>
      <c r="N121" s="85"/>
      <c r="O121" s="84"/>
    </row>
    <row r="122" spans="2:15" x14ac:dyDescent="0.3">
      <c r="B122" s="78"/>
      <c r="C122" s="78"/>
      <c r="D122" s="82"/>
      <c r="G122" s="78"/>
      <c r="H122" s="78"/>
      <c r="I122" s="78"/>
      <c r="J122" s="78"/>
      <c r="K122" s="78"/>
      <c r="L122" s="78"/>
      <c r="M122" s="78"/>
      <c r="N122" s="79"/>
      <c r="O122" s="78"/>
    </row>
    <row r="123" spans="2:15" x14ac:dyDescent="0.3">
      <c r="B123" s="78"/>
      <c r="C123" s="78" t="s">
        <v>171</v>
      </c>
      <c r="D123" s="80">
        <v>1.5983000000000001</v>
      </c>
      <c r="E123" s="28" t="s">
        <v>170</v>
      </c>
      <c r="F123" s="28" t="s">
        <v>109</v>
      </c>
      <c r="G123" s="78"/>
      <c r="H123" s="78"/>
      <c r="I123" s="78"/>
      <c r="J123" s="78"/>
      <c r="K123" s="78"/>
      <c r="L123" s="78"/>
      <c r="M123" s="78"/>
      <c r="N123" s="79"/>
      <c r="O123" s="78"/>
    </row>
    <row r="124" spans="2:15" x14ac:dyDescent="0.3">
      <c r="B124" s="78"/>
      <c r="C124" s="78"/>
      <c r="D124" s="80">
        <v>48</v>
      </c>
      <c r="E124" s="28" t="s">
        <v>34</v>
      </c>
      <c r="F124" s="28" t="s">
        <v>46</v>
      </c>
      <c r="G124" s="78"/>
      <c r="H124" s="78"/>
      <c r="I124" s="78"/>
      <c r="J124" s="78"/>
      <c r="K124" s="78"/>
      <c r="L124" s="78"/>
      <c r="M124" s="78"/>
      <c r="N124" s="79"/>
      <c r="O124" s="78"/>
    </row>
    <row r="125" spans="2:15" x14ac:dyDescent="0.3">
      <c r="B125" s="78"/>
      <c r="C125" s="78"/>
      <c r="D125" s="82"/>
      <c r="G125" s="78"/>
      <c r="H125" s="78"/>
      <c r="I125" s="78"/>
      <c r="J125" s="78"/>
      <c r="K125" s="78"/>
      <c r="L125" s="78"/>
      <c r="M125" s="78"/>
      <c r="N125" s="79"/>
      <c r="O125" s="78"/>
    </row>
    <row r="126" spans="2:15" x14ac:dyDescent="0.3">
      <c r="B126" s="78"/>
      <c r="C126" s="78" t="s">
        <v>173</v>
      </c>
      <c r="D126" s="80">
        <v>2.8239000000000001</v>
      </c>
      <c r="E126" s="28" t="s">
        <v>170</v>
      </c>
      <c r="F126" s="28" t="s">
        <v>109</v>
      </c>
      <c r="G126" s="78"/>
      <c r="H126" s="78"/>
      <c r="I126" s="78"/>
      <c r="J126" s="78"/>
      <c r="K126" s="78"/>
      <c r="L126" s="78"/>
      <c r="M126" s="78"/>
      <c r="N126" s="79"/>
      <c r="O126" s="78"/>
    </row>
    <row r="127" spans="2:15" x14ac:dyDescent="0.3">
      <c r="B127" s="78"/>
      <c r="C127" s="78"/>
      <c r="D127" s="80">
        <v>776.25</v>
      </c>
      <c r="E127" s="131" t="s">
        <v>34</v>
      </c>
      <c r="F127" s="131" t="s">
        <v>265</v>
      </c>
      <c r="G127" s="78"/>
      <c r="H127" s="78"/>
      <c r="I127" s="78"/>
      <c r="J127" s="78"/>
      <c r="K127" s="78"/>
      <c r="L127" s="78"/>
      <c r="M127" s="78"/>
      <c r="N127" s="79"/>
      <c r="O127" s="78"/>
    </row>
    <row r="128" spans="2:15" x14ac:dyDescent="0.3">
      <c r="B128" s="78"/>
      <c r="C128" s="78"/>
      <c r="D128" s="80">
        <v>768</v>
      </c>
      <c r="E128" s="131" t="s">
        <v>34</v>
      </c>
      <c r="F128" s="131" t="s">
        <v>266</v>
      </c>
      <c r="G128" s="78"/>
      <c r="H128" s="78"/>
      <c r="I128" s="78"/>
      <c r="J128" s="78"/>
      <c r="K128" s="78"/>
      <c r="L128" s="78"/>
      <c r="M128" s="78"/>
      <c r="N128" s="79"/>
      <c r="O128" s="78"/>
    </row>
    <row r="129" spans="2:15" x14ac:dyDescent="0.3">
      <c r="B129" s="78"/>
      <c r="C129" s="78"/>
      <c r="D129" s="80">
        <v>762.5</v>
      </c>
      <c r="E129" s="131" t="s">
        <v>34</v>
      </c>
      <c r="F129" s="131" t="s">
        <v>268</v>
      </c>
      <c r="G129" s="78"/>
      <c r="H129" s="78"/>
      <c r="I129" s="78"/>
      <c r="J129" s="78"/>
      <c r="K129" s="78"/>
      <c r="L129" s="78"/>
      <c r="M129" s="78"/>
      <c r="N129" s="79"/>
      <c r="O129" s="78"/>
    </row>
    <row r="130" spans="2:15" x14ac:dyDescent="0.3">
      <c r="B130" s="78"/>
      <c r="C130" s="78"/>
      <c r="D130" s="80">
        <f>(1.5*((D127-D129)^2))/2</f>
        <v>141.796875</v>
      </c>
      <c r="E130" s="131" t="s">
        <v>170</v>
      </c>
      <c r="F130" s="131" t="s">
        <v>271</v>
      </c>
      <c r="G130" s="78"/>
      <c r="H130" s="78"/>
      <c r="I130" s="78"/>
      <c r="J130" s="78"/>
      <c r="K130" s="78"/>
      <c r="L130" s="78"/>
      <c r="M130" s="78"/>
      <c r="N130" s="79"/>
      <c r="O130" s="78"/>
    </row>
    <row r="131" spans="2:15" x14ac:dyDescent="0.3">
      <c r="B131" s="78"/>
      <c r="C131" s="78"/>
      <c r="D131" s="80">
        <f>(1.5*((D128-D129)^2))/2</f>
        <v>22.6875</v>
      </c>
      <c r="E131" s="131" t="s">
        <v>170</v>
      </c>
      <c r="F131" s="131" t="s">
        <v>272</v>
      </c>
      <c r="G131" s="78"/>
      <c r="H131" s="78"/>
      <c r="I131" s="78"/>
      <c r="J131" s="78"/>
      <c r="K131" s="78"/>
      <c r="L131" s="78"/>
      <c r="M131" s="78"/>
      <c r="N131" s="79"/>
      <c r="O131" s="78"/>
    </row>
    <row r="132" spans="2:15" x14ac:dyDescent="0.3">
      <c r="B132" s="78"/>
      <c r="C132" s="78"/>
      <c r="D132" s="80">
        <f>(D130+D131)/2</f>
        <v>82.2421875</v>
      </c>
      <c r="E132" s="131" t="s">
        <v>170</v>
      </c>
      <c r="F132" s="131" t="s">
        <v>270</v>
      </c>
      <c r="G132" s="78"/>
      <c r="H132" s="78"/>
      <c r="I132" s="78"/>
      <c r="J132" s="78"/>
      <c r="K132" s="78"/>
      <c r="L132" s="78"/>
      <c r="M132" s="78"/>
      <c r="N132" s="79"/>
      <c r="O132" s="78"/>
    </row>
    <row r="133" spans="2:15" x14ac:dyDescent="0.3">
      <c r="B133" s="78"/>
      <c r="C133" s="78"/>
      <c r="D133" s="80">
        <f>D111</f>
        <v>44.29</v>
      </c>
      <c r="E133" s="131" t="s">
        <v>34</v>
      </c>
      <c r="F133" s="131" t="s">
        <v>263</v>
      </c>
      <c r="G133" s="78"/>
      <c r="H133" s="78"/>
      <c r="I133" s="78"/>
      <c r="J133" s="78"/>
      <c r="K133" s="78"/>
      <c r="L133" s="78"/>
      <c r="M133" s="78"/>
      <c r="N133" s="79"/>
      <c r="O133" s="78"/>
    </row>
    <row r="134" spans="2:15" x14ac:dyDescent="0.3">
      <c r="B134" s="78"/>
      <c r="C134" s="78"/>
      <c r="D134" s="80">
        <v>27</v>
      </c>
      <c r="E134" s="131" t="s">
        <v>34</v>
      </c>
      <c r="F134" s="131" t="s">
        <v>181</v>
      </c>
      <c r="G134" s="78"/>
      <c r="H134" s="78"/>
      <c r="I134" s="78"/>
      <c r="J134" s="78"/>
      <c r="K134" s="78"/>
      <c r="L134" s="78"/>
      <c r="M134" s="78"/>
      <c r="N134" s="79"/>
      <c r="O134" s="78"/>
    </row>
    <row r="135" spans="2:15" x14ac:dyDescent="0.3">
      <c r="B135" s="78"/>
      <c r="C135" s="78"/>
      <c r="D135" s="82">
        <f>(D132*D134)+((D133+D134)*D126)</f>
        <v>2421.8548934999999</v>
      </c>
      <c r="E135" s="131" t="s">
        <v>269</v>
      </c>
      <c r="F135" s="131" t="s">
        <v>267</v>
      </c>
      <c r="G135" s="78"/>
      <c r="H135" s="78"/>
      <c r="I135" s="78"/>
      <c r="J135" s="78"/>
      <c r="K135" s="78"/>
      <c r="L135" s="78"/>
      <c r="M135" s="78"/>
      <c r="N135" s="79"/>
      <c r="O135" s="78"/>
    </row>
    <row r="136" spans="2:15" x14ac:dyDescent="0.3">
      <c r="B136" s="78"/>
      <c r="C136" s="78"/>
      <c r="D136" s="82"/>
      <c r="G136" s="78"/>
      <c r="H136" s="78"/>
      <c r="I136" s="78"/>
      <c r="J136" s="78"/>
      <c r="K136" s="78"/>
      <c r="L136" s="78"/>
      <c r="M136" s="78"/>
      <c r="N136" s="79"/>
      <c r="O136" s="78"/>
    </row>
    <row r="137" spans="2:15" x14ac:dyDescent="0.3">
      <c r="B137" s="78"/>
      <c r="C137" s="78" t="s">
        <v>172</v>
      </c>
      <c r="D137" s="80">
        <v>2.0394000000000001</v>
      </c>
      <c r="E137" s="28" t="s">
        <v>170</v>
      </c>
      <c r="F137" s="28" t="s">
        <v>109</v>
      </c>
      <c r="G137" s="78"/>
      <c r="H137" s="78"/>
      <c r="I137" s="78"/>
      <c r="J137" s="78"/>
      <c r="K137" s="78"/>
      <c r="L137" s="78"/>
      <c r="M137" s="78"/>
      <c r="N137" s="79"/>
      <c r="O137" s="78"/>
    </row>
    <row r="138" spans="2:15" x14ac:dyDescent="0.3">
      <c r="B138" s="78"/>
      <c r="C138" s="78"/>
      <c r="D138" s="80">
        <v>48</v>
      </c>
      <c r="E138" s="28" t="s">
        <v>34</v>
      </c>
      <c r="F138" s="28" t="s">
        <v>46</v>
      </c>
      <c r="G138" s="78"/>
      <c r="H138" s="78"/>
      <c r="I138" s="78"/>
      <c r="J138" s="78"/>
      <c r="K138" s="78"/>
      <c r="L138" s="78"/>
      <c r="M138" s="78"/>
      <c r="N138" s="79"/>
      <c r="O138" s="78"/>
    </row>
    <row r="139" spans="2:15" x14ac:dyDescent="0.3">
      <c r="B139" s="78"/>
      <c r="C139" s="78"/>
      <c r="D139" s="82"/>
      <c r="G139" s="78"/>
      <c r="H139" s="78"/>
      <c r="I139" s="78"/>
      <c r="J139" s="78"/>
      <c r="K139" s="78"/>
      <c r="L139" s="78"/>
      <c r="M139" s="78"/>
      <c r="N139" s="79"/>
      <c r="O139" s="78"/>
    </row>
    <row r="140" spans="2:15" x14ac:dyDescent="0.3">
      <c r="B140" s="78"/>
      <c r="C140" s="78" t="s">
        <v>174</v>
      </c>
      <c r="D140" s="80">
        <v>2.3151999999999999</v>
      </c>
      <c r="E140" s="28" t="s">
        <v>170</v>
      </c>
      <c r="F140" s="28" t="s">
        <v>109</v>
      </c>
      <c r="G140" s="78"/>
      <c r="H140" s="78"/>
      <c r="I140" s="78"/>
      <c r="J140" s="78"/>
      <c r="K140" s="78"/>
      <c r="L140" s="78"/>
      <c r="M140" s="78"/>
      <c r="N140" s="79"/>
      <c r="O140" s="78"/>
    </row>
    <row r="141" spans="2:15" x14ac:dyDescent="0.3">
      <c r="B141" s="78"/>
      <c r="C141" s="78"/>
      <c r="D141" s="80">
        <v>777.25</v>
      </c>
      <c r="E141" s="131" t="s">
        <v>34</v>
      </c>
      <c r="F141" s="131" t="s">
        <v>265</v>
      </c>
      <c r="G141" s="78"/>
      <c r="H141" s="78"/>
      <c r="I141" s="78"/>
      <c r="J141" s="78"/>
      <c r="K141" s="78"/>
      <c r="L141" s="78"/>
      <c r="M141" s="78"/>
      <c r="N141" s="79"/>
      <c r="O141" s="78"/>
    </row>
    <row r="142" spans="2:15" x14ac:dyDescent="0.3">
      <c r="B142" s="78"/>
      <c r="C142" s="78"/>
      <c r="D142" s="80">
        <v>769</v>
      </c>
      <c r="E142" s="131" t="s">
        <v>34</v>
      </c>
      <c r="F142" s="131" t="s">
        <v>266</v>
      </c>
      <c r="G142" s="78"/>
      <c r="H142" s="78"/>
      <c r="I142" s="78"/>
      <c r="J142" s="78"/>
      <c r="K142" s="78"/>
      <c r="L142" s="78"/>
      <c r="M142" s="78"/>
      <c r="N142" s="79"/>
      <c r="O142" s="78"/>
    </row>
    <row r="143" spans="2:15" x14ac:dyDescent="0.3">
      <c r="B143" s="78"/>
      <c r="C143" s="78"/>
      <c r="D143" s="80">
        <v>763.5</v>
      </c>
      <c r="E143" s="131" t="s">
        <v>34</v>
      </c>
      <c r="F143" s="131" t="s">
        <v>268</v>
      </c>
      <c r="G143" s="78"/>
      <c r="H143" s="78"/>
      <c r="I143" s="78"/>
      <c r="J143" s="78"/>
      <c r="K143" s="78"/>
      <c r="L143" s="78"/>
      <c r="M143" s="78"/>
      <c r="N143" s="79"/>
      <c r="O143" s="78"/>
    </row>
    <row r="144" spans="2:15" x14ac:dyDescent="0.3">
      <c r="B144" s="78"/>
      <c r="C144" s="78"/>
      <c r="D144" s="80">
        <f>(1.5*((D141-D143)^2))/2</f>
        <v>141.796875</v>
      </c>
      <c r="E144" s="131" t="s">
        <v>170</v>
      </c>
      <c r="F144" s="131" t="s">
        <v>271</v>
      </c>
      <c r="G144" s="78"/>
      <c r="H144" s="78"/>
      <c r="I144" s="78"/>
      <c r="J144" s="78"/>
      <c r="K144" s="78"/>
      <c r="L144" s="78"/>
      <c r="M144" s="78"/>
      <c r="N144" s="79"/>
      <c r="O144" s="78"/>
    </row>
    <row r="145" spans="2:15" x14ac:dyDescent="0.3">
      <c r="B145" s="78"/>
      <c r="C145" s="78"/>
      <c r="D145" s="80">
        <f>(1.5*((D142-D143)^2))/2</f>
        <v>22.6875</v>
      </c>
      <c r="E145" s="131" t="s">
        <v>170</v>
      </c>
      <c r="F145" s="131" t="s">
        <v>272</v>
      </c>
      <c r="G145" s="78"/>
      <c r="H145" s="78"/>
      <c r="I145" s="78"/>
      <c r="J145" s="78"/>
      <c r="K145" s="78"/>
      <c r="L145" s="78"/>
      <c r="M145" s="78"/>
      <c r="N145" s="79"/>
      <c r="O145" s="78"/>
    </row>
    <row r="146" spans="2:15" x14ac:dyDescent="0.3">
      <c r="B146" s="78"/>
      <c r="C146" s="78"/>
      <c r="D146" s="80">
        <f>(D144+D145)/2</f>
        <v>82.2421875</v>
      </c>
      <c r="E146" s="131" t="s">
        <v>170</v>
      </c>
      <c r="F146" s="131" t="s">
        <v>270</v>
      </c>
      <c r="G146" s="78"/>
      <c r="H146" s="78"/>
      <c r="I146" s="78"/>
      <c r="J146" s="78"/>
      <c r="K146" s="78"/>
      <c r="L146" s="78"/>
      <c r="M146" s="78"/>
      <c r="N146" s="79"/>
      <c r="O146" s="78"/>
    </row>
    <row r="147" spans="2:15" x14ac:dyDescent="0.3">
      <c r="B147" s="78"/>
      <c r="C147" s="78"/>
      <c r="D147" s="80">
        <f>D133</f>
        <v>44.29</v>
      </c>
      <c r="E147" s="131" t="s">
        <v>34</v>
      </c>
      <c r="F147" s="131" t="s">
        <v>263</v>
      </c>
      <c r="G147" s="78"/>
      <c r="H147" s="78"/>
      <c r="I147" s="78"/>
      <c r="J147" s="78"/>
      <c r="K147" s="78"/>
      <c r="L147" s="78"/>
      <c r="M147" s="78"/>
      <c r="N147" s="79"/>
      <c r="O147" s="78"/>
    </row>
    <row r="148" spans="2:15" x14ac:dyDescent="0.3">
      <c r="B148" s="78"/>
      <c r="C148" s="78"/>
      <c r="D148" s="80">
        <v>24</v>
      </c>
      <c r="E148" s="28" t="s">
        <v>34</v>
      </c>
      <c r="F148" s="28" t="s">
        <v>181</v>
      </c>
      <c r="G148" s="78"/>
      <c r="H148" s="78"/>
      <c r="I148" s="78"/>
      <c r="J148" s="78"/>
      <c r="K148" s="78"/>
      <c r="L148" s="78"/>
      <c r="M148" s="78"/>
      <c r="N148" s="79"/>
      <c r="O148" s="78"/>
    </row>
    <row r="149" spans="2:15" x14ac:dyDescent="0.3">
      <c r="D149" s="82">
        <f>(D146*D148)+((D147+D148)*D140)</f>
        <v>2131.917508</v>
      </c>
      <c r="E149" s="131" t="s">
        <v>269</v>
      </c>
      <c r="F149" s="131" t="s">
        <v>267</v>
      </c>
    </row>
    <row r="150" spans="2:15" x14ac:dyDescent="0.3">
      <c r="D150" s="82"/>
    </row>
    <row r="151" spans="2:15" x14ac:dyDescent="0.3">
      <c r="D151" s="82">
        <f>D123*D124+D126*D135+D137*D138+D140*D149</f>
        <v>11949.501048276248</v>
      </c>
      <c r="E151" s="28" t="s">
        <v>176</v>
      </c>
      <c r="F151" s="28" t="s">
        <v>67</v>
      </c>
    </row>
    <row r="152" spans="2:15" x14ac:dyDescent="0.3">
      <c r="B152" s="78"/>
      <c r="D152" s="82">
        <f>D151*5%</f>
        <v>597.47505241381248</v>
      </c>
      <c r="E152" s="28" t="s">
        <v>176</v>
      </c>
      <c r="F152" s="86" t="s">
        <v>175</v>
      </c>
      <c r="G152" s="78"/>
      <c r="H152" s="78"/>
      <c r="I152" s="78"/>
      <c r="J152" s="78"/>
      <c r="K152" s="78"/>
      <c r="L152" s="78"/>
      <c r="M152" s="78"/>
      <c r="N152" s="79"/>
      <c r="O152" s="78"/>
    </row>
    <row r="153" spans="2:15" x14ac:dyDescent="0.3">
      <c r="B153" s="78"/>
      <c r="C153" s="78"/>
      <c r="D153" s="82"/>
      <c r="G153" s="78"/>
      <c r="H153" s="78"/>
      <c r="I153" s="78"/>
      <c r="J153" s="78"/>
      <c r="K153" s="78"/>
      <c r="L153" s="78"/>
      <c r="M153" s="78"/>
      <c r="N153" s="79"/>
      <c r="O153" s="78"/>
    </row>
    <row r="154" spans="2:15" x14ac:dyDescent="0.3">
      <c r="B154" s="78"/>
      <c r="C154" s="78"/>
      <c r="D154" s="82">
        <f>D151+D152</f>
        <v>12546.976100690061</v>
      </c>
      <c r="E154" s="28" t="s">
        <v>41</v>
      </c>
      <c r="F154" s="28" t="s">
        <v>44</v>
      </c>
      <c r="G154" s="78"/>
      <c r="H154" s="78"/>
      <c r="I154" s="78"/>
      <c r="J154" s="78"/>
      <c r="K154" s="78"/>
      <c r="L154" s="78"/>
      <c r="M154" s="78"/>
      <c r="N154" s="79"/>
      <c r="O154" s="78"/>
    </row>
    <row r="155" spans="2:15" x14ac:dyDescent="0.3">
      <c r="B155" s="78"/>
      <c r="C155" s="78"/>
      <c r="D155" s="9">
        <f>D154/27</f>
        <v>464.70281854407631</v>
      </c>
      <c r="E155" s="10" t="s">
        <v>177</v>
      </c>
      <c r="F155" s="10" t="s">
        <v>44</v>
      </c>
      <c r="G155" s="78"/>
      <c r="H155" s="78"/>
      <c r="I155" s="78"/>
      <c r="J155" s="78"/>
      <c r="K155" s="78"/>
      <c r="L155" s="78"/>
      <c r="M155" s="78"/>
      <c r="N155" s="79"/>
      <c r="O155" s="78"/>
    </row>
    <row r="156" spans="2:15" x14ac:dyDescent="0.3">
      <c r="B156" s="78"/>
      <c r="C156" s="78"/>
      <c r="D156" s="9"/>
      <c r="E156" s="10"/>
      <c r="F156" s="10"/>
      <c r="G156" s="78"/>
      <c r="H156" s="78"/>
      <c r="I156" s="78"/>
      <c r="J156" s="78"/>
      <c r="K156" s="78"/>
      <c r="L156" s="78"/>
      <c r="M156" s="78"/>
      <c r="N156" s="79"/>
      <c r="O156" s="78"/>
    </row>
    <row r="157" spans="2:15" x14ac:dyDescent="0.3">
      <c r="B157" s="6">
        <f>B22</f>
        <v>503</v>
      </c>
      <c r="C157" s="6" t="str">
        <f>C22</f>
        <v>21321</v>
      </c>
      <c r="D157" s="8">
        <v>1</v>
      </c>
      <c r="E157" s="6" t="str">
        <f>E22</f>
        <v>LS</v>
      </c>
      <c r="F157" s="22" t="str">
        <f>F22</f>
        <v>UNCLASSIFIED EXCAVATION, INCLUDING ROCK, AS PER PLAN</v>
      </c>
      <c r="G157" s="84"/>
      <c r="H157" s="84"/>
      <c r="I157" s="84"/>
      <c r="J157" s="84"/>
      <c r="K157" s="84"/>
      <c r="L157" s="84"/>
      <c r="M157" s="84"/>
      <c r="N157" s="85"/>
      <c r="O157" s="84"/>
    </row>
    <row r="158" spans="2:15" x14ac:dyDescent="0.3">
      <c r="B158" s="78"/>
      <c r="C158" s="78"/>
      <c r="E158" s="78"/>
      <c r="F158" s="78"/>
      <c r="G158" s="78"/>
      <c r="H158" s="78"/>
      <c r="I158" s="78"/>
      <c r="J158" s="78"/>
      <c r="K158" s="78"/>
      <c r="L158" s="78"/>
      <c r="M158" s="78"/>
      <c r="N158" s="79"/>
      <c r="O158" s="78"/>
    </row>
    <row r="159" spans="2:15" x14ac:dyDescent="0.3">
      <c r="B159" s="6">
        <f>B24</f>
        <v>507</v>
      </c>
      <c r="C159" s="6" t="str">
        <f>C24</f>
        <v>00101</v>
      </c>
      <c r="D159" s="8">
        <f>D165</f>
        <v>400</v>
      </c>
      <c r="E159" s="6" t="str">
        <f>E24</f>
        <v>FT</v>
      </c>
      <c r="F159" s="22" t="str">
        <f>F24</f>
        <v>STEEL PILES HP10X42, FURNISHED, AS PER PLAN</v>
      </c>
      <c r="G159" s="84"/>
      <c r="H159" s="84"/>
      <c r="I159" s="84"/>
      <c r="J159" s="84"/>
      <c r="K159" s="84"/>
      <c r="L159" s="84"/>
      <c r="M159" s="84"/>
      <c r="N159" s="85"/>
      <c r="O159" s="84"/>
    </row>
    <row r="160" spans="2:15" x14ac:dyDescent="0.3">
      <c r="B160" s="28" t="s">
        <v>99</v>
      </c>
      <c r="D160" s="80">
        <v>10</v>
      </c>
      <c r="E160" s="28" t="s">
        <v>37</v>
      </c>
      <c r="F160" s="28" t="s">
        <v>98</v>
      </c>
    </row>
    <row r="161" spans="2:15" x14ac:dyDescent="0.3">
      <c r="D161" s="80">
        <v>2</v>
      </c>
      <c r="E161" s="28" t="s">
        <v>37</v>
      </c>
      <c r="F161" s="28" t="s">
        <v>99</v>
      </c>
    </row>
    <row r="162" spans="2:15" x14ac:dyDescent="0.3">
      <c r="D162" s="80">
        <v>20</v>
      </c>
      <c r="E162" s="28" t="s">
        <v>34</v>
      </c>
      <c r="F162" s="128" t="s">
        <v>253</v>
      </c>
    </row>
    <row r="163" spans="2:15" x14ac:dyDescent="0.3">
      <c r="D163" s="82">
        <f>D160*D161*D162</f>
        <v>400</v>
      </c>
      <c r="E163" s="28" t="s">
        <v>34</v>
      </c>
      <c r="F163" s="28" t="s">
        <v>100</v>
      </c>
    </row>
    <row r="164" spans="2:15" x14ac:dyDescent="0.3">
      <c r="D164" s="82"/>
    </row>
    <row r="165" spans="2:15" x14ac:dyDescent="0.3">
      <c r="D165" s="9">
        <f>D163</f>
        <v>400</v>
      </c>
      <c r="E165" s="10" t="s">
        <v>34</v>
      </c>
      <c r="F165" s="10" t="s">
        <v>63</v>
      </c>
    </row>
    <row r="166" spans="2:15" x14ac:dyDescent="0.3">
      <c r="D166" s="82"/>
    </row>
    <row r="167" spans="2:15" x14ac:dyDescent="0.3">
      <c r="B167" s="6">
        <f>B25</f>
        <v>507</v>
      </c>
      <c r="C167" s="7" t="str">
        <f>C25</f>
        <v>92201</v>
      </c>
      <c r="D167" s="8">
        <f>D179</f>
        <v>205</v>
      </c>
      <c r="E167" s="6" t="str">
        <f>E25</f>
        <v>FT</v>
      </c>
      <c r="F167" s="22" t="str">
        <f>F25</f>
        <v>PREBORED HOLES, AS PER PLAN</v>
      </c>
      <c r="G167" s="84"/>
      <c r="H167" s="84"/>
      <c r="I167" s="84"/>
      <c r="J167" s="84"/>
      <c r="K167" s="84"/>
      <c r="L167" s="84"/>
      <c r="M167" s="84"/>
      <c r="N167" s="85"/>
      <c r="O167" s="84"/>
    </row>
    <row r="168" spans="2:15" x14ac:dyDescent="0.3">
      <c r="D168" s="82"/>
    </row>
    <row r="169" spans="2:15" x14ac:dyDescent="0.3">
      <c r="B169" s="28" t="s">
        <v>209</v>
      </c>
      <c r="D169" s="80">
        <v>762.5</v>
      </c>
      <c r="E169" s="132" t="s">
        <v>34</v>
      </c>
      <c r="F169" s="132" t="s">
        <v>274</v>
      </c>
    </row>
    <row r="170" spans="2:15" x14ac:dyDescent="0.3">
      <c r="D170" s="80">
        <f>D169-10.5</f>
        <v>752</v>
      </c>
      <c r="E170" s="132" t="s">
        <v>34</v>
      </c>
      <c r="F170" s="132" t="s">
        <v>273</v>
      </c>
    </row>
    <row r="171" spans="2:15" x14ac:dyDescent="0.3">
      <c r="D171" s="82">
        <f>D169-D170</f>
        <v>10.5</v>
      </c>
      <c r="E171" s="28" t="s">
        <v>34</v>
      </c>
      <c r="F171" s="154" t="s">
        <v>46</v>
      </c>
    </row>
    <row r="172" spans="2:15" x14ac:dyDescent="0.3">
      <c r="D172" s="80">
        <v>10</v>
      </c>
      <c r="E172" s="28" t="s">
        <v>37</v>
      </c>
      <c r="F172" s="28" t="s">
        <v>210</v>
      </c>
    </row>
    <row r="173" spans="2:15" x14ac:dyDescent="0.3">
      <c r="D173" s="82"/>
    </row>
    <row r="174" spans="2:15" x14ac:dyDescent="0.3">
      <c r="B174" s="28" t="s">
        <v>211</v>
      </c>
      <c r="D174" s="80">
        <v>763.5</v>
      </c>
      <c r="E174" s="132" t="s">
        <v>34</v>
      </c>
      <c r="F174" s="132" t="s">
        <v>274</v>
      </c>
    </row>
    <row r="175" spans="2:15" x14ac:dyDescent="0.3">
      <c r="D175" s="80">
        <v>753.5</v>
      </c>
      <c r="E175" s="132" t="s">
        <v>34</v>
      </c>
      <c r="F175" s="132" t="s">
        <v>273</v>
      </c>
    </row>
    <row r="176" spans="2:15" x14ac:dyDescent="0.3">
      <c r="D176" s="82">
        <f>D174-D175</f>
        <v>10</v>
      </c>
      <c r="E176" s="28" t="s">
        <v>34</v>
      </c>
      <c r="F176" s="154" t="s">
        <v>46</v>
      </c>
    </row>
    <row r="177" spans="2:15" x14ac:dyDescent="0.3">
      <c r="D177" s="80">
        <v>10</v>
      </c>
      <c r="E177" s="28" t="s">
        <v>37</v>
      </c>
      <c r="F177" s="28" t="s">
        <v>210</v>
      </c>
    </row>
    <row r="178" spans="2:15" x14ac:dyDescent="0.3">
      <c r="D178" s="82"/>
    </row>
    <row r="179" spans="2:15" x14ac:dyDescent="0.3">
      <c r="D179" s="9">
        <f>D171*D172+D176*D177</f>
        <v>205</v>
      </c>
      <c r="E179" s="10" t="s">
        <v>34</v>
      </c>
      <c r="F179" s="10" t="s">
        <v>203</v>
      </c>
    </row>
    <row r="180" spans="2:15" x14ac:dyDescent="0.3">
      <c r="D180" s="82"/>
    </row>
    <row r="181" spans="2:15" x14ac:dyDescent="0.3">
      <c r="B181" s="6">
        <f>B27</f>
        <v>509</v>
      </c>
      <c r="C181" s="7" t="str">
        <f>C27</f>
        <v>10000</v>
      </c>
      <c r="D181" s="8">
        <f>ROUNDUP(D190,0)</f>
        <v>47263</v>
      </c>
      <c r="E181" s="6" t="str">
        <f>E27</f>
        <v>LB</v>
      </c>
      <c r="F181" s="22" t="str">
        <f>F27</f>
        <v>EPOXY COATED STEEL REINFORCEMENT</v>
      </c>
      <c r="G181" s="84"/>
      <c r="H181" s="84"/>
      <c r="I181" s="84"/>
      <c r="J181" s="84"/>
      <c r="K181" s="84"/>
      <c r="L181" s="84"/>
      <c r="M181" s="84"/>
      <c r="N181" s="85"/>
      <c r="O181" s="84"/>
    </row>
    <row r="182" spans="2:15" x14ac:dyDescent="0.3">
      <c r="B182" s="133" t="s">
        <v>276</v>
      </c>
      <c r="D182" s="80">
        <v>23244</v>
      </c>
      <c r="E182" s="28" t="s">
        <v>38</v>
      </c>
      <c r="F182" s="28" t="s">
        <v>168</v>
      </c>
    </row>
    <row r="183" spans="2:15" x14ac:dyDescent="0.3">
      <c r="D183" s="82"/>
    </row>
    <row r="184" spans="2:15" x14ac:dyDescent="0.3">
      <c r="B184" s="133" t="s">
        <v>275</v>
      </c>
      <c r="D184" s="80">
        <v>6439</v>
      </c>
      <c r="E184" s="28" t="s">
        <v>38</v>
      </c>
      <c r="F184" s="28" t="s">
        <v>168</v>
      </c>
    </row>
    <row r="185" spans="2:15" x14ac:dyDescent="0.3">
      <c r="D185" s="28"/>
    </row>
    <row r="186" spans="2:15" x14ac:dyDescent="0.3">
      <c r="B186" s="133" t="s">
        <v>278</v>
      </c>
      <c r="D186" s="80">
        <v>8606</v>
      </c>
      <c r="E186" s="28" t="s">
        <v>38</v>
      </c>
      <c r="F186" s="28" t="s">
        <v>168</v>
      </c>
    </row>
    <row r="187" spans="2:15" x14ac:dyDescent="0.3">
      <c r="D187" s="82"/>
    </row>
    <row r="188" spans="2:15" x14ac:dyDescent="0.3">
      <c r="B188" s="133" t="s">
        <v>277</v>
      </c>
      <c r="D188" s="80">
        <v>8974</v>
      </c>
      <c r="E188" s="28" t="s">
        <v>38</v>
      </c>
      <c r="F188" s="28" t="s">
        <v>168</v>
      </c>
    </row>
    <row r="189" spans="2:15" x14ac:dyDescent="0.3">
      <c r="D189" s="82"/>
    </row>
    <row r="190" spans="2:15" x14ac:dyDescent="0.3">
      <c r="D190" s="9">
        <f>SUM(D182:D189)</f>
        <v>47263</v>
      </c>
      <c r="E190" s="10" t="s">
        <v>38</v>
      </c>
      <c r="F190" s="10" t="s">
        <v>44</v>
      </c>
    </row>
    <row r="192" spans="2:15" x14ac:dyDescent="0.3">
      <c r="B192" s="6">
        <f>B29</f>
        <v>511</v>
      </c>
      <c r="C192" s="6" t="str">
        <f>C29</f>
        <v>34446</v>
      </c>
      <c r="D192" s="8">
        <f>D224</f>
        <v>131</v>
      </c>
      <c r="E192" s="6" t="str">
        <f>E29</f>
        <v>CY</v>
      </c>
      <c r="F192" s="22" t="str">
        <f>F29</f>
        <v>CLASS QC2 CONCRETE WITH QC/QA, BRIDGE DECK</v>
      </c>
      <c r="G192" s="84"/>
      <c r="H192" s="84"/>
      <c r="I192" s="84"/>
      <c r="J192" s="84"/>
      <c r="K192" s="84"/>
      <c r="L192" s="84"/>
      <c r="M192" s="84"/>
      <c r="N192" s="85"/>
      <c r="O192" s="84"/>
    </row>
    <row r="193" spans="2:6" x14ac:dyDescent="0.3">
      <c r="B193" s="28" t="s">
        <v>33</v>
      </c>
      <c r="D193" s="82">
        <f>D69</f>
        <v>8.5</v>
      </c>
      <c r="E193" s="28" t="s">
        <v>39</v>
      </c>
      <c r="F193" s="28" t="s">
        <v>45</v>
      </c>
    </row>
    <row r="194" spans="2:6" x14ac:dyDescent="0.3">
      <c r="D194" s="82">
        <f>D59</f>
        <v>77.33</v>
      </c>
      <c r="E194" s="28" t="s">
        <v>34</v>
      </c>
      <c r="F194" s="28" t="s">
        <v>46</v>
      </c>
    </row>
    <row r="195" spans="2:6" x14ac:dyDescent="0.3">
      <c r="D195" s="82">
        <f>D60</f>
        <v>36.125</v>
      </c>
      <c r="E195" s="28" t="s">
        <v>34</v>
      </c>
      <c r="F195" s="28" t="s">
        <v>47</v>
      </c>
    </row>
    <row r="196" spans="2:6" x14ac:dyDescent="0.3">
      <c r="D196" s="80">
        <v>3</v>
      </c>
      <c r="E196" s="28" t="s">
        <v>39</v>
      </c>
      <c r="F196" s="28" t="s">
        <v>101</v>
      </c>
    </row>
    <row r="197" spans="2:6" x14ac:dyDescent="0.3">
      <c r="D197" s="80">
        <v>16</v>
      </c>
      <c r="E197" s="28" t="s">
        <v>39</v>
      </c>
      <c r="F197" s="28" t="s">
        <v>48</v>
      </c>
    </row>
    <row r="198" spans="2:6" x14ac:dyDescent="0.3">
      <c r="D198" s="82">
        <f>D66</f>
        <v>5</v>
      </c>
      <c r="E198" s="28" t="s">
        <v>37</v>
      </c>
      <c r="F198" s="28" t="s">
        <v>49</v>
      </c>
    </row>
    <row r="199" spans="2:6" x14ac:dyDescent="0.3">
      <c r="D199" s="82">
        <f>(D193/12)*D194*D195+((D196*D197)/144)*D198*D194</f>
        <v>2107.6452604166666</v>
      </c>
      <c r="E199" s="28" t="s">
        <v>41</v>
      </c>
      <c r="F199" s="28" t="s">
        <v>50</v>
      </c>
    </row>
    <row r="200" spans="2:6" x14ac:dyDescent="0.3">
      <c r="D200" s="82"/>
    </row>
    <row r="201" spans="2:6" x14ac:dyDescent="0.3">
      <c r="B201" s="28" t="s">
        <v>40</v>
      </c>
      <c r="C201" s="28" t="s">
        <v>51</v>
      </c>
      <c r="D201" s="82">
        <f>5.42</f>
        <v>5.42</v>
      </c>
      <c r="E201" s="28" t="s">
        <v>34</v>
      </c>
      <c r="F201" s="28" t="s">
        <v>202</v>
      </c>
    </row>
    <row r="202" spans="2:6" x14ac:dyDescent="0.3">
      <c r="D202" s="80">
        <v>3.33</v>
      </c>
      <c r="E202" s="28" t="s">
        <v>34</v>
      </c>
      <c r="F202" s="28" t="s">
        <v>47</v>
      </c>
    </row>
    <row r="203" spans="2:6" x14ac:dyDescent="0.3">
      <c r="D203" s="82">
        <f>D60</f>
        <v>36.125</v>
      </c>
      <c r="E203" s="28" t="s">
        <v>34</v>
      </c>
      <c r="F203" s="28" t="s">
        <v>46</v>
      </c>
    </row>
    <row r="204" spans="2:6" x14ac:dyDescent="0.3">
      <c r="D204" s="82">
        <f>D201*D203</f>
        <v>195.79749999999999</v>
      </c>
      <c r="E204" s="28" t="s">
        <v>66</v>
      </c>
      <c r="F204" s="28" t="s">
        <v>109</v>
      </c>
    </row>
    <row r="205" spans="2:6" x14ac:dyDescent="0.3">
      <c r="D205" s="82">
        <f>D204*D202</f>
        <v>652.005675</v>
      </c>
      <c r="E205" s="28" t="s">
        <v>41</v>
      </c>
      <c r="F205" s="28" t="s">
        <v>114</v>
      </c>
    </row>
    <row r="206" spans="2:6" x14ac:dyDescent="0.3">
      <c r="D206" s="82"/>
    </row>
    <row r="207" spans="2:6" x14ac:dyDescent="0.3">
      <c r="D207" s="80">
        <v>3.89</v>
      </c>
      <c r="E207" s="28" t="s">
        <v>66</v>
      </c>
      <c r="F207" s="28" t="s">
        <v>111</v>
      </c>
    </row>
    <row r="208" spans="2:6" x14ac:dyDescent="0.3">
      <c r="D208" s="82">
        <f>D66</f>
        <v>5</v>
      </c>
      <c r="E208" s="28" t="s">
        <v>37</v>
      </c>
      <c r="F208" s="28" t="s">
        <v>96</v>
      </c>
    </row>
    <row r="209" spans="2:6" x14ac:dyDescent="0.3">
      <c r="D209" s="80">
        <v>2.33</v>
      </c>
      <c r="E209" s="28" t="s">
        <v>34</v>
      </c>
      <c r="F209" s="28" t="s">
        <v>112</v>
      </c>
    </row>
    <row r="210" spans="2:6" x14ac:dyDescent="0.3">
      <c r="D210" s="82">
        <f>D207*D209*D208</f>
        <v>45.3185</v>
      </c>
      <c r="E210" s="28" t="s">
        <v>41</v>
      </c>
      <c r="F210" s="28" t="s">
        <v>113</v>
      </c>
    </row>
    <row r="211" spans="2:6" x14ac:dyDescent="0.3">
      <c r="D211" s="82"/>
    </row>
    <row r="212" spans="2:6" x14ac:dyDescent="0.3">
      <c r="D212" s="82">
        <f>D205-D210</f>
        <v>606.68717500000002</v>
      </c>
      <c r="E212" s="28" t="s">
        <v>41</v>
      </c>
      <c r="F212" s="28" t="s">
        <v>52</v>
      </c>
    </row>
    <row r="213" spans="2:6" x14ac:dyDescent="0.3">
      <c r="D213" s="80">
        <v>2</v>
      </c>
      <c r="E213" s="28" t="s">
        <v>37</v>
      </c>
      <c r="F213" s="28" t="s">
        <v>53</v>
      </c>
    </row>
    <row r="214" spans="2:6" x14ac:dyDescent="0.3">
      <c r="D214" s="82">
        <f>D212*D213</f>
        <v>1213.37435</v>
      </c>
      <c r="E214" s="28" t="s">
        <v>41</v>
      </c>
      <c r="F214" s="28" t="s">
        <v>54</v>
      </c>
    </row>
    <row r="215" spans="2:6" x14ac:dyDescent="0.3">
      <c r="D215" s="82"/>
    </row>
    <row r="216" spans="2:6" x14ac:dyDescent="0.3">
      <c r="B216" s="28" t="s">
        <v>55</v>
      </c>
      <c r="D216" s="82">
        <f>D70</f>
        <v>20</v>
      </c>
      <c r="E216" s="28" t="s">
        <v>39</v>
      </c>
      <c r="F216" s="28" t="s">
        <v>56</v>
      </c>
    </row>
    <row r="217" spans="2:6" x14ac:dyDescent="0.3">
      <c r="D217" s="82">
        <f>D216-D193</f>
        <v>11.5</v>
      </c>
      <c r="E217" s="28" t="s">
        <v>39</v>
      </c>
      <c r="F217" s="28" t="s">
        <v>57</v>
      </c>
    </row>
    <row r="218" spans="2:6" x14ac:dyDescent="0.3">
      <c r="D218" s="82">
        <f>D67+D68</f>
        <v>4.125</v>
      </c>
      <c r="E218" s="28" t="s">
        <v>34</v>
      </c>
      <c r="F218" s="28" t="s">
        <v>58</v>
      </c>
    </row>
    <row r="219" spans="2:6" x14ac:dyDescent="0.3">
      <c r="D219" s="82">
        <f>D218-D197/12</f>
        <v>2.791666666666667</v>
      </c>
      <c r="E219" s="28" t="s">
        <v>34</v>
      </c>
      <c r="F219" s="28" t="s">
        <v>59</v>
      </c>
    </row>
    <row r="220" spans="2:6" x14ac:dyDescent="0.3">
      <c r="D220" s="82">
        <f>(D217/12)*D219*D194</f>
        <v>206.88460069444449</v>
      </c>
      <c r="E220" s="28" t="s">
        <v>41</v>
      </c>
      <c r="F220" s="28" t="s">
        <v>50</v>
      </c>
    </row>
    <row r="221" spans="2:6" x14ac:dyDescent="0.3">
      <c r="D221" s="9"/>
      <c r="E221" s="10"/>
      <c r="F221" s="10"/>
    </row>
    <row r="222" spans="2:6" x14ac:dyDescent="0.3">
      <c r="D222" s="82">
        <f>D199+D214+D220</f>
        <v>3527.9042111111112</v>
      </c>
      <c r="E222" s="28" t="s">
        <v>41</v>
      </c>
      <c r="F222" s="28" t="s">
        <v>61</v>
      </c>
    </row>
    <row r="223" spans="2:6" x14ac:dyDescent="0.3">
      <c r="D223" s="82"/>
    </row>
    <row r="224" spans="2:6" x14ac:dyDescent="0.3">
      <c r="D224" s="9">
        <f>ROUNDUP(D222/27,0)</f>
        <v>131</v>
      </c>
      <c r="E224" s="10" t="s">
        <v>62</v>
      </c>
      <c r="F224" s="10" t="s">
        <v>44</v>
      </c>
    </row>
    <row r="225" spans="1:15" x14ac:dyDescent="0.3">
      <c r="D225" s="82"/>
    </row>
    <row r="226" spans="1:15" x14ac:dyDescent="0.3">
      <c r="A226" s="21"/>
      <c r="B226" s="6">
        <f>B30</f>
        <v>511</v>
      </c>
      <c r="C226" s="6" t="str">
        <f>C30</f>
        <v>43512</v>
      </c>
      <c r="D226" s="11">
        <f>ROUNDUP(D254,0)</f>
        <v>146</v>
      </c>
      <c r="E226" s="6" t="str">
        <f>E30</f>
        <v>CY</v>
      </c>
      <c r="F226" s="177" t="str">
        <f>F30</f>
        <v>CLASS QC1 CONCRETE WITH QC/QA, ABUTMENT INCLUDING FOOTING</v>
      </c>
      <c r="G226" s="177"/>
      <c r="H226" s="177"/>
      <c r="I226" s="177"/>
      <c r="J226" s="177"/>
      <c r="K226" s="177"/>
      <c r="L226" s="177"/>
      <c r="M226" s="177"/>
      <c r="N226" s="177"/>
      <c r="O226" s="177"/>
    </row>
    <row r="227" spans="1:15" x14ac:dyDescent="0.3">
      <c r="D227" s="82"/>
      <c r="N227" s="28"/>
    </row>
    <row r="228" spans="1:15" x14ac:dyDescent="0.3">
      <c r="D228" s="82"/>
      <c r="N228" s="28"/>
    </row>
    <row r="229" spans="1:15" x14ac:dyDescent="0.3">
      <c r="C229" s="28" t="s">
        <v>182</v>
      </c>
      <c r="D229" s="80">
        <v>3.33</v>
      </c>
      <c r="E229" s="28" t="s">
        <v>34</v>
      </c>
      <c r="F229" s="28" t="s">
        <v>47</v>
      </c>
      <c r="H229" s="28" t="s">
        <v>186</v>
      </c>
      <c r="I229" s="80">
        <v>3.33</v>
      </c>
      <c r="J229" s="28" t="s">
        <v>34</v>
      </c>
      <c r="K229" s="28" t="s">
        <v>47</v>
      </c>
      <c r="N229" s="28"/>
    </row>
    <row r="230" spans="1:15" x14ac:dyDescent="0.3">
      <c r="D230" s="80">
        <v>74.959999999999994</v>
      </c>
      <c r="E230" s="28" t="s">
        <v>34</v>
      </c>
      <c r="F230" s="28" t="s">
        <v>46</v>
      </c>
      <c r="I230" s="80">
        <v>71.959999999999994</v>
      </c>
      <c r="J230" s="28" t="s">
        <v>34</v>
      </c>
      <c r="K230" s="28" t="s">
        <v>46</v>
      </c>
      <c r="N230" s="28"/>
    </row>
    <row r="231" spans="1:15" x14ac:dyDescent="0.3">
      <c r="D231" s="80">
        <v>3</v>
      </c>
      <c r="E231" s="28" t="s">
        <v>34</v>
      </c>
      <c r="F231" s="28" t="s">
        <v>118</v>
      </c>
      <c r="I231" s="80">
        <v>3</v>
      </c>
      <c r="J231" s="28" t="s">
        <v>34</v>
      </c>
      <c r="K231" s="28" t="s">
        <v>118</v>
      </c>
      <c r="N231" s="28"/>
    </row>
    <row r="232" spans="1:15" x14ac:dyDescent="0.3">
      <c r="D232" s="82">
        <f>D229*D231*D230</f>
        <v>748.85039999999992</v>
      </c>
      <c r="E232" s="28" t="s">
        <v>176</v>
      </c>
      <c r="F232" s="28" t="s">
        <v>76</v>
      </c>
      <c r="I232" s="82">
        <f>I229*I231*I230</f>
        <v>718.88040000000001</v>
      </c>
      <c r="J232" s="28" t="s">
        <v>176</v>
      </c>
      <c r="K232" s="28" t="s">
        <v>76</v>
      </c>
      <c r="N232" s="28"/>
    </row>
    <row r="233" spans="1:15" x14ac:dyDescent="0.3">
      <c r="D233" s="82"/>
      <c r="I233" s="82"/>
      <c r="N233" s="28"/>
    </row>
    <row r="234" spans="1:15" x14ac:dyDescent="0.3">
      <c r="C234" s="78" t="s">
        <v>183</v>
      </c>
      <c r="D234" s="80">
        <v>3.33</v>
      </c>
      <c r="E234" s="28" t="s">
        <v>34</v>
      </c>
      <c r="F234" s="28" t="s">
        <v>47</v>
      </c>
      <c r="H234" s="78" t="s">
        <v>187</v>
      </c>
      <c r="I234" s="80">
        <v>3.33</v>
      </c>
      <c r="J234" s="28" t="s">
        <v>34</v>
      </c>
      <c r="K234" s="28" t="s">
        <v>47</v>
      </c>
      <c r="N234" s="28"/>
    </row>
    <row r="235" spans="1:15" x14ac:dyDescent="0.3">
      <c r="D235" s="80">
        <v>39.125</v>
      </c>
      <c r="E235" s="28" t="s">
        <v>34</v>
      </c>
      <c r="F235" s="28" t="s">
        <v>46</v>
      </c>
      <c r="I235" s="80">
        <v>39.125</v>
      </c>
      <c r="J235" s="28" t="s">
        <v>34</v>
      </c>
      <c r="K235" s="28" t="s">
        <v>46</v>
      </c>
      <c r="N235" s="28"/>
    </row>
    <row r="236" spans="1:15" x14ac:dyDescent="0.3">
      <c r="D236" s="80">
        <v>4.5</v>
      </c>
      <c r="E236" s="28" t="s">
        <v>34</v>
      </c>
      <c r="F236" s="28" t="s">
        <v>118</v>
      </c>
      <c r="I236" s="80">
        <v>4.5</v>
      </c>
      <c r="J236" s="28" t="s">
        <v>34</v>
      </c>
      <c r="K236" s="28" t="s">
        <v>118</v>
      </c>
      <c r="N236" s="28"/>
    </row>
    <row r="237" spans="1:15" x14ac:dyDescent="0.3">
      <c r="D237" s="80">
        <v>5</v>
      </c>
      <c r="E237" s="137" t="s">
        <v>176</v>
      </c>
      <c r="F237" s="137" t="s">
        <v>76</v>
      </c>
      <c r="I237" s="80">
        <f>(2/12)*3.33*4.5*2</f>
        <v>4.9949999999999992</v>
      </c>
      <c r="J237" s="137" t="s">
        <v>176</v>
      </c>
      <c r="N237" s="28"/>
    </row>
    <row r="238" spans="1:15" x14ac:dyDescent="0.3">
      <c r="D238" s="82">
        <f>(D234*D236*D235)+D237</f>
        <v>591.28812499999992</v>
      </c>
      <c r="E238" s="28" t="s">
        <v>176</v>
      </c>
      <c r="F238" s="137" t="s">
        <v>67</v>
      </c>
      <c r="I238" s="82">
        <f>(I234*I236*I235)+I237</f>
        <v>591.28312499999993</v>
      </c>
      <c r="J238" s="28" t="s">
        <v>176</v>
      </c>
      <c r="K238" s="137" t="s">
        <v>67</v>
      </c>
      <c r="N238" s="28"/>
    </row>
    <row r="239" spans="1:15" x14ac:dyDescent="0.3">
      <c r="D239" s="82"/>
      <c r="I239" s="82"/>
      <c r="N239" s="28"/>
    </row>
    <row r="240" spans="1:15" x14ac:dyDescent="0.3">
      <c r="C240" s="78" t="s">
        <v>184</v>
      </c>
      <c r="D240" s="80">
        <v>2.5</v>
      </c>
      <c r="E240" s="28" t="s">
        <v>34</v>
      </c>
      <c r="F240" s="28" t="s">
        <v>47</v>
      </c>
      <c r="H240" s="78" t="s">
        <v>188</v>
      </c>
      <c r="I240" s="80">
        <v>2.5</v>
      </c>
      <c r="J240" s="28" t="s">
        <v>34</v>
      </c>
      <c r="K240" s="28" t="s">
        <v>47</v>
      </c>
      <c r="N240" s="28"/>
    </row>
    <row r="241" spans="1:15" x14ac:dyDescent="0.3">
      <c r="D241" s="80">
        <v>17</v>
      </c>
      <c r="E241" s="28" t="s">
        <v>34</v>
      </c>
      <c r="F241" s="120" t="s">
        <v>229</v>
      </c>
      <c r="I241" s="80">
        <v>14</v>
      </c>
      <c r="J241" s="28" t="s">
        <v>34</v>
      </c>
      <c r="K241" s="120" t="s">
        <v>229</v>
      </c>
      <c r="N241" s="28"/>
    </row>
    <row r="242" spans="1:15" x14ac:dyDescent="0.3">
      <c r="D242" s="80">
        <v>14</v>
      </c>
      <c r="F242" s="120" t="s">
        <v>230</v>
      </c>
      <c r="I242" s="80">
        <v>14</v>
      </c>
      <c r="K242" s="120" t="s">
        <v>230</v>
      </c>
      <c r="N242" s="28"/>
    </row>
    <row r="243" spans="1:15" x14ac:dyDescent="0.3">
      <c r="D243" s="121">
        <v>2.25</v>
      </c>
      <c r="F243" s="120" t="s">
        <v>226</v>
      </c>
      <c r="I243" s="121">
        <v>2.25</v>
      </c>
      <c r="K243" s="120" t="s">
        <v>226</v>
      </c>
      <c r="N243" s="28"/>
    </row>
    <row r="244" spans="1:15" x14ac:dyDescent="0.3">
      <c r="D244" s="80">
        <v>11.25</v>
      </c>
      <c r="F244" s="120" t="s">
        <v>222</v>
      </c>
      <c r="I244" s="80">
        <v>10.61</v>
      </c>
      <c r="K244" s="120" t="s">
        <v>222</v>
      </c>
      <c r="N244" s="28"/>
    </row>
    <row r="245" spans="1:15" x14ac:dyDescent="0.3">
      <c r="D245" s="80">
        <v>3</v>
      </c>
      <c r="F245" s="120" t="s">
        <v>223</v>
      </c>
      <c r="I245" s="80">
        <v>3</v>
      </c>
      <c r="K245" s="120" t="s">
        <v>223</v>
      </c>
      <c r="N245" s="28"/>
    </row>
    <row r="246" spans="1:15" x14ac:dyDescent="0.3">
      <c r="D246" s="80">
        <v>10.62</v>
      </c>
      <c r="F246" s="120" t="s">
        <v>224</v>
      </c>
      <c r="I246" s="80">
        <v>11.25</v>
      </c>
      <c r="K246" s="120" t="s">
        <v>224</v>
      </c>
      <c r="N246" s="28"/>
    </row>
    <row r="247" spans="1:15" x14ac:dyDescent="0.3">
      <c r="D247" s="80">
        <v>3</v>
      </c>
      <c r="F247" s="120" t="s">
        <v>225</v>
      </c>
      <c r="I247" s="80">
        <v>3</v>
      </c>
      <c r="K247" s="120" t="s">
        <v>225</v>
      </c>
      <c r="N247" s="28"/>
    </row>
    <row r="248" spans="1:15" x14ac:dyDescent="0.3">
      <c r="D248" s="80">
        <f>((D243*D244)+(D245*D241)+(0.5*D241*(D244-D245)))*D240</f>
        <v>366.09375</v>
      </c>
      <c r="E248" s="120" t="s">
        <v>176</v>
      </c>
      <c r="F248" s="120" t="s">
        <v>227</v>
      </c>
      <c r="I248" s="80">
        <f>((I243*I244)+(I245*I241)+(0.5*I241*(I244-I245)))*I240</f>
        <v>297.85624999999999</v>
      </c>
      <c r="J248" s="120" t="s">
        <v>176</v>
      </c>
      <c r="K248" s="120" t="s">
        <v>227</v>
      </c>
      <c r="N248" s="28"/>
    </row>
    <row r="249" spans="1:15" x14ac:dyDescent="0.3">
      <c r="D249" s="80">
        <f>((D246*D243)+(D242*D247)+(0.5*D242*(D246-D247)))*D240</f>
        <v>298.08749999999998</v>
      </c>
      <c r="E249" s="120" t="s">
        <v>176</v>
      </c>
      <c r="F249" s="120" t="s">
        <v>228</v>
      </c>
      <c r="I249" s="80">
        <f>((I246*I243)+(I242*I247)+(0.5*I242*(I246-I247)))*I240</f>
        <v>312.65625</v>
      </c>
      <c r="J249" s="120" t="s">
        <v>176</v>
      </c>
      <c r="K249" s="120" t="s">
        <v>228</v>
      </c>
      <c r="N249" s="28"/>
    </row>
    <row r="250" spans="1:15" x14ac:dyDescent="0.3">
      <c r="D250" s="82">
        <f>D248+D249</f>
        <v>664.18124999999998</v>
      </c>
      <c r="E250" s="28" t="s">
        <v>176</v>
      </c>
      <c r="F250" s="28" t="s">
        <v>76</v>
      </c>
      <c r="I250" s="82">
        <f>I248+I249</f>
        <v>610.51250000000005</v>
      </c>
      <c r="J250" s="28" t="s">
        <v>176</v>
      </c>
      <c r="K250" s="28" t="s">
        <v>76</v>
      </c>
      <c r="N250" s="28"/>
    </row>
    <row r="251" spans="1:15" x14ac:dyDescent="0.3">
      <c r="D251" s="82"/>
      <c r="I251" s="82"/>
      <c r="N251" s="28"/>
    </row>
    <row r="252" spans="1:15" x14ac:dyDescent="0.3">
      <c r="D252" s="82">
        <f>D232+D238+D250</f>
        <v>2004.3197749999999</v>
      </c>
      <c r="F252" s="28" t="s">
        <v>185</v>
      </c>
      <c r="I252" s="82">
        <f>I232+I238+I250</f>
        <v>1920.676025</v>
      </c>
      <c r="K252" s="28" t="s">
        <v>189</v>
      </c>
      <c r="N252" s="28"/>
    </row>
    <row r="253" spans="1:15" x14ac:dyDescent="0.3">
      <c r="D253" s="82"/>
      <c r="N253" s="28"/>
    </row>
    <row r="254" spans="1:15" x14ac:dyDescent="0.3">
      <c r="D254" s="9">
        <f>(D252+I252)/27</f>
        <v>145.3702148148148</v>
      </c>
      <c r="E254" s="10" t="s">
        <v>62</v>
      </c>
      <c r="F254" s="10" t="s">
        <v>67</v>
      </c>
      <c r="N254" s="28"/>
    </row>
    <row r="255" spans="1:15" x14ac:dyDescent="0.3">
      <c r="D255" s="82"/>
      <c r="N255" s="28"/>
    </row>
    <row r="256" spans="1:15" x14ac:dyDescent="0.3">
      <c r="A256" s="21"/>
      <c r="B256" s="6">
        <f>B32</f>
        <v>512</v>
      </c>
      <c r="C256" s="6">
        <f>C32</f>
        <v>10100</v>
      </c>
      <c r="D256" s="11">
        <f>ROUNDUP(D285,0)</f>
        <v>324</v>
      </c>
      <c r="E256" s="6" t="str">
        <f>E32</f>
        <v>SY</v>
      </c>
      <c r="F256" s="177" t="str">
        <f>F32</f>
        <v>SEALING OF CONCRETE SURFACES (EPOXY-URETHANE)</v>
      </c>
      <c r="G256" s="177"/>
      <c r="H256" s="177"/>
      <c r="I256" s="177"/>
      <c r="J256" s="177"/>
      <c r="K256" s="177"/>
      <c r="L256" s="177"/>
      <c r="M256" s="177"/>
      <c r="N256" s="177"/>
      <c r="O256" s="177"/>
    </row>
    <row r="257" spans="2:14" x14ac:dyDescent="0.3">
      <c r="D257" s="82"/>
    </row>
    <row r="258" spans="2:14" x14ac:dyDescent="0.3">
      <c r="B258" s="86"/>
      <c r="C258" s="78" t="s">
        <v>162</v>
      </c>
      <c r="D258" s="80">
        <v>9.8000000000000007</v>
      </c>
      <c r="E258" s="86" t="s">
        <v>34</v>
      </c>
      <c r="F258" s="98" t="s">
        <v>219</v>
      </c>
    </row>
    <row r="259" spans="2:14" x14ac:dyDescent="0.3">
      <c r="B259" s="86"/>
      <c r="C259" s="78"/>
      <c r="D259" s="80">
        <v>9.67</v>
      </c>
      <c r="E259" s="98" t="s">
        <v>34</v>
      </c>
      <c r="F259" s="98" t="s">
        <v>220</v>
      </c>
    </row>
    <row r="260" spans="2:14" x14ac:dyDescent="0.3">
      <c r="B260" s="33"/>
      <c r="C260" s="33"/>
      <c r="D260" s="82">
        <f>D59</f>
        <v>77.33</v>
      </c>
      <c r="E260" s="86" t="s">
        <v>34</v>
      </c>
      <c r="F260" s="86" t="s">
        <v>68</v>
      </c>
    </row>
    <row r="261" spans="2:14" x14ac:dyDescent="0.3">
      <c r="B261" s="33"/>
      <c r="C261" s="33"/>
      <c r="D261" s="82">
        <f>(D258+D259)*D260</f>
        <v>1505.6151</v>
      </c>
      <c r="E261" s="86" t="s">
        <v>66</v>
      </c>
      <c r="F261" s="86" t="s">
        <v>158</v>
      </c>
    </row>
    <row r="262" spans="2:14" x14ac:dyDescent="0.3">
      <c r="D262" s="82"/>
    </row>
    <row r="263" spans="2:14" x14ac:dyDescent="0.3">
      <c r="B263" s="86" t="s">
        <v>51</v>
      </c>
      <c r="D263" s="82"/>
      <c r="N263" s="28"/>
    </row>
    <row r="264" spans="2:14" x14ac:dyDescent="0.3">
      <c r="D264" s="82"/>
      <c r="N264" s="28"/>
    </row>
    <row r="265" spans="2:14" x14ac:dyDescent="0.3">
      <c r="C265" s="28" t="s">
        <v>122</v>
      </c>
      <c r="D265" s="80">
        <v>2.5</v>
      </c>
      <c r="E265" s="28" t="s">
        <v>34</v>
      </c>
      <c r="F265" s="28" t="s">
        <v>47</v>
      </c>
      <c r="N265" s="28"/>
    </row>
    <row r="266" spans="2:14" x14ac:dyDescent="0.3">
      <c r="D266" s="80">
        <v>14.75</v>
      </c>
      <c r="E266" s="28" t="s">
        <v>34</v>
      </c>
      <c r="F266" s="120" t="s">
        <v>231</v>
      </c>
      <c r="N266" s="28"/>
    </row>
    <row r="267" spans="2:14" x14ac:dyDescent="0.3">
      <c r="D267" s="80">
        <f>AVERAGE(D244,D246,I244,I246)</f>
        <v>10.932499999999999</v>
      </c>
      <c r="E267" s="28" t="s">
        <v>34</v>
      </c>
      <c r="F267" s="120" t="s">
        <v>232</v>
      </c>
      <c r="N267" s="28"/>
    </row>
    <row r="268" spans="2:14" x14ac:dyDescent="0.3">
      <c r="D268" s="80">
        <f>AVERAGE(D245,D247,I245,I247)</f>
        <v>3</v>
      </c>
      <c r="E268" s="28" t="s">
        <v>34</v>
      </c>
      <c r="F268" s="28" t="s">
        <v>120</v>
      </c>
      <c r="N268" s="28"/>
    </row>
    <row r="269" spans="2:14" x14ac:dyDescent="0.3">
      <c r="D269" s="82"/>
      <c r="N269" s="28"/>
    </row>
    <row r="270" spans="2:14" x14ac:dyDescent="0.3">
      <c r="D270" s="82">
        <f>D265*D268</f>
        <v>7.5</v>
      </c>
      <c r="E270" s="28" t="s">
        <v>66</v>
      </c>
      <c r="F270" s="28" t="s">
        <v>123</v>
      </c>
      <c r="N270" s="28"/>
    </row>
    <row r="271" spans="2:14" x14ac:dyDescent="0.3">
      <c r="D271" s="82">
        <f>0.5*(D267+D268)*D266</f>
        <v>102.75218749999999</v>
      </c>
      <c r="E271" s="28" t="s">
        <v>66</v>
      </c>
      <c r="F271" s="28" t="s">
        <v>124</v>
      </c>
      <c r="N271" s="28"/>
    </row>
    <row r="272" spans="2:14" x14ac:dyDescent="0.3">
      <c r="D272" s="82">
        <f>(D265+1)*D266</f>
        <v>51.625</v>
      </c>
      <c r="E272" s="28" t="s">
        <v>66</v>
      </c>
      <c r="F272" s="28" t="s">
        <v>125</v>
      </c>
      <c r="N272" s="28"/>
    </row>
    <row r="273" spans="1:15" x14ac:dyDescent="0.3">
      <c r="D273" s="82">
        <f>D270+D271+D272</f>
        <v>161.87718749999999</v>
      </c>
      <c r="E273" s="28" t="s">
        <v>66</v>
      </c>
      <c r="F273" s="28" t="s">
        <v>126</v>
      </c>
      <c r="N273" s="28"/>
    </row>
    <row r="274" spans="1:15" x14ac:dyDescent="0.3">
      <c r="D274" s="80">
        <v>2</v>
      </c>
      <c r="E274" s="28" t="s">
        <v>37</v>
      </c>
      <c r="F274" s="28" t="s">
        <v>121</v>
      </c>
      <c r="N274" s="28"/>
    </row>
    <row r="275" spans="1:15" x14ac:dyDescent="0.3">
      <c r="D275" s="80">
        <v>2</v>
      </c>
      <c r="E275" s="28" t="s">
        <v>37</v>
      </c>
      <c r="F275" s="28" t="s">
        <v>53</v>
      </c>
      <c r="N275" s="28"/>
    </row>
    <row r="276" spans="1:15" x14ac:dyDescent="0.3">
      <c r="D276" s="82">
        <f>D273*D274*D275</f>
        <v>647.50874999999996</v>
      </c>
      <c r="E276" s="28" t="s">
        <v>66</v>
      </c>
      <c r="F276" s="28" t="s">
        <v>129</v>
      </c>
      <c r="N276" s="28"/>
    </row>
    <row r="277" spans="1:15" x14ac:dyDescent="0.3">
      <c r="B277" s="33"/>
      <c r="C277" s="33"/>
      <c r="D277" s="82"/>
      <c r="E277" s="86"/>
      <c r="G277" s="86"/>
      <c r="H277" s="86"/>
      <c r="I277" s="86"/>
      <c r="J277" s="86"/>
      <c r="K277" s="86"/>
      <c r="L277" s="86"/>
      <c r="M277" s="86"/>
      <c r="N277" s="87"/>
      <c r="O277" s="86"/>
    </row>
    <row r="278" spans="1:15" x14ac:dyDescent="0.3">
      <c r="B278" s="86"/>
      <c r="C278" s="86" t="s">
        <v>149</v>
      </c>
      <c r="D278" s="82">
        <f>D60</f>
        <v>36.125</v>
      </c>
      <c r="E278" s="28" t="s">
        <v>34</v>
      </c>
      <c r="F278" s="28" t="s">
        <v>46</v>
      </c>
      <c r="G278" s="86"/>
      <c r="H278" s="86"/>
      <c r="I278" s="86"/>
      <c r="J278" s="86"/>
      <c r="K278" s="86"/>
      <c r="L278" s="86"/>
      <c r="M278" s="86"/>
      <c r="N278" s="87"/>
      <c r="O278" s="86"/>
    </row>
    <row r="279" spans="1:15" x14ac:dyDescent="0.3">
      <c r="B279" s="33"/>
      <c r="C279" s="33"/>
      <c r="D279" s="80">
        <v>1.5</v>
      </c>
      <c r="E279" s="28" t="s">
        <v>34</v>
      </c>
      <c r="F279" s="28" t="s">
        <v>118</v>
      </c>
      <c r="G279" s="86"/>
      <c r="H279" s="86"/>
      <c r="I279" s="86"/>
      <c r="J279" s="86"/>
      <c r="K279" s="86"/>
      <c r="L279" s="86"/>
      <c r="M279" s="86"/>
      <c r="N279" s="87"/>
      <c r="O279" s="86"/>
    </row>
    <row r="280" spans="1:15" x14ac:dyDescent="0.3">
      <c r="B280" s="33"/>
      <c r="C280" s="33"/>
      <c r="D280" s="82">
        <f>D278*D279*D275</f>
        <v>108.375</v>
      </c>
      <c r="E280" s="28" t="s">
        <v>66</v>
      </c>
      <c r="F280" s="28" t="s">
        <v>190</v>
      </c>
      <c r="G280" s="86"/>
      <c r="H280" s="86"/>
      <c r="I280" s="86"/>
      <c r="J280" s="86"/>
      <c r="K280" s="86"/>
      <c r="L280" s="86"/>
      <c r="M280" s="86"/>
      <c r="N280" s="87"/>
      <c r="O280" s="86"/>
    </row>
    <row r="281" spans="1:15" x14ac:dyDescent="0.3">
      <c r="B281" s="33"/>
      <c r="C281" s="33"/>
      <c r="D281" s="82"/>
      <c r="E281" s="86"/>
      <c r="G281" s="86"/>
      <c r="H281" s="86"/>
      <c r="I281" s="86"/>
      <c r="J281" s="86"/>
      <c r="K281" s="86"/>
      <c r="L281" s="86"/>
      <c r="M281" s="86"/>
      <c r="N281" s="87"/>
      <c r="O281" s="86"/>
    </row>
    <row r="282" spans="1:15" x14ac:dyDescent="0.3">
      <c r="B282" s="33"/>
      <c r="C282" s="33"/>
      <c r="D282" s="82">
        <f>D276+D280</f>
        <v>755.88374999999996</v>
      </c>
      <c r="E282" s="28" t="s">
        <v>66</v>
      </c>
      <c r="F282" s="28" t="s">
        <v>128</v>
      </c>
      <c r="G282" s="86"/>
      <c r="H282" s="86"/>
      <c r="I282" s="86"/>
      <c r="J282" s="86"/>
      <c r="K282" s="86"/>
      <c r="L282" s="86"/>
      <c r="M282" s="86"/>
      <c r="N282" s="87"/>
      <c r="O282" s="86"/>
    </row>
    <row r="283" spans="1:15" x14ac:dyDescent="0.3">
      <c r="B283" s="33"/>
      <c r="C283" s="33"/>
      <c r="D283" s="82"/>
      <c r="E283" s="86"/>
      <c r="G283" s="86"/>
      <c r="H283" s="86"/>
      <c r="I283" s="86"/>
      <c r="J283" s="86"/>
      <c r="K283" s="86"/>
      <c r="L283" s="86"/>
      <c r="M283" s="86"/>
      <c r="N283" s="87"/>
      <c r="O283" s="86"/>
    </row>
    <row r="284" spans="1:15" x14ac:dyDescent="0.3">
      <c r="B284" s="33"/>
      <c r="C284" s="33"/>
      <c r="D284" s="82">
        <f>D261+D282+D276</f>
        <v>2909.0075999999999</v>
      </c>
      <c r="E284" s="86" t="s">
        <v>66</v>
      </c>
      <c r="F284" s="28" t="s">
        <v>127</v>
      </c>
      <c r="G284" s="86"/>
      <c r="H284" s="86"/>
      <c r="I284" s="86"/>
      <c r="J284" s="86"/>
      <c r="K284" s="86"/>
      <c r="L284" s="86"/>
      <c r="M284" s="86"/>
      <c r="N284" s="87"/>
      <c r="O284" s="86"/>
    </row>
    <row r="285" spans="1:15" x14ac:dyDescent="0.3">
      <c r="D285" s="9">
        <f>ROUNDUP(D284/9,0)</f>
        <v>324</v>
      </c>
      <c r="E285" s="10" t="s">
        <v>69</v>
      </c>
      <c r="F285" s="10" t="s">
        <v>44</v>
      </c>
    </row>
    <row r="287" spans="1:15" x14ac:dyDescent="0.3">
      <c r="A287" s="21"/>
      <c r="B287" s="6">
        <f>B34</f>
        <v>515</v>
      </c>
      <c r="C287" s="6" t="str">
        <f>C34</f>
        <v>15010</v>
      </c>
      <c r="D287" s="8">
        <f>ROUNDUP(D290,0)</f>
        <v>5</v>
      </c>
      <c r="E287" s="6" t="str">
        <f>E34</f>
        <v>EACH</v>
      </c>
      <c r="F287" s="22" t="str">
        <f>F34</f>
        <v>DRAPED STRAND PRESTRESSED CONCRETE BRIDGE I-BEAM MEMBERS, LEVEL 3, TYPE 3 (LENGTH = 76'-4")</v>
      </c>
      <c r="G287" s="84"/>
      <c r="H287" s="84"/>
      <c r="I287" s="84"/>
      <c r="J287" s="84"/>
      <c r="K287" s="84"/>
      <c r="L287" s="84"/>
      <c r="M287" s="84"/>
      <c r="N287" s="85"/>
      <c r="O287" s="84"/>
    </row>
    <row r="288" spans="1:15" x14ac:dyDescent="0.3">
      <c r="D288" s="82">
        <f>D66</f>
        <v>5</v>
      </c>
      <c r="E288" s="28" t="s">
        <v>37</v>
      </c>
      <c r="F288" s="28" t="s">
        <v>96</v>
      </c>
    </row>
    <row r="289" spans="1:15" x14ac:dyDescent="0.3">
      <c r="D289" s="80">
        <v>1</v>
      </c>
      <c r="E289" s="28" t="s">
        <v>37</v>
      </c>
      <c r="F289" s="28" t="s">
        <v>103</v>
      </c>
    </row>
    <row r="290" spans="1:15" x14ac:dyDescent="0.3">
      <c r="D290" s="9">
        <f>D288*D289</f>
        <v>5</v>
      </c>
      <c r="E290" s="10" t="s">
        <v>37</v>
      </c>
      <c r="F290" s="10" t="s">
        <v>44</v>
      </c>
    </row>
    <row r="291" spans="1:15" x14ac:dyDescent="0.3">
      <c r="D291" s="9"/>
      <c r="E291" s="10"/>
      <c r="F291" s="10"/>
    </row>
    <row r="292" spans="1:15" x14ac:dyDescent="0.3">
      <c r="A292" s="21"/>
      <c r="B292" s="6">
        <f>B35</f>
        <v>515</v>
      </c>
      <c r="C292" s="7" t="str">
        <f>C35</f>
        <v>20000</v>
      </c>
      <c r="D292" s="8">
        <f>ROUNDUP(D297,0)</f>
        <v>4</v>
      </c>
      <c r="E292" s="6" t="str">
        <f>E35</f>
        <v>EACH</v>
      </c>
      <c r="F292" s="22" t="str">
        <f>F35</f>
        <v>INTERMEDIATE DIAPHRAGMS</v>
      </c>
      <c r="G292" s="84"/>
      <c r="H292" s="84"/>
      <c r="I292" s="84"/>
      <c r="J292" s="84"/>
      <c r="K292" s="84"/>
      <c r="L292" s="84"/>
      <c r="M292" s="84"/>
      <c r="N292" s="85"/>
      <c r="O292" s="84"/>
    </row>
    <row r="293" spans="1:15" x14ac:dyDescent="0.3">
      <c r="D293" s="82">
        <f>D289</f>
        <v>1</v>
      </c>
      <c r="E293" s="28" t="s">
        <v>37</v>
      </c>
      <c r="F293" s="28" t="s">
        <v>103</v>
      </c>
    </row>
    <row r="294" spans="1:15" x14ac:dyDescent="0.3">
      <c r="D294" s="82">
        <f>D288-1</f>
        <v>4</v>
      </c>
      <c r="E294" s="28" t="s">
        <v>37</v>
      </c>
      <c r="F294" s="28" t="s">
        <v>104</v>
      </c>
    </row>
    <row r="295" spans="1:15" x14ac:dyDescent="0.3">
      <c r="D295" s="80">
        <v>1</v>
      </c>
      <c r="E295" s="28" t="s">
        <v>37</v>
      </c>
      <c r="F295" s="28" t="s">
        <v>105</v>
      </c>
    </row>
    <row r="296" spans="1:15" x14ac:dyDescent="0.3">
      <c r="D296" s="82"/>
    </row>
    <row r="297" spans="1:15" x14ac:dyDescent="0.3">
      <c r="D297" s="9">
        <f>D293*D294*D295</f>
        <v>4</v>
      </c>
      <c r="E297" s="10" t="s">
        <v>37</v>
      </c>
      <c r="F297" s="10" t="s">
        <v>44</v>
      </c>
    </row>
    <row r="298" spans="1:15" x14ac:dyDescent="0.3">
      <c r="D298" s="9"/>
      <c r="E298" s="10"/>
      <c r="F298" s="10"/>
    </row>
    <row r="299" spans="1:15" x14ac:dyDescent="0.3">
      <c r="B299" s="6">
        <f>B37</f>
        <v>516</v>
      </c>
      <c r="C299" s="6" t="str">
        <f>C37</f>
        <v>13200</v>
      </c>
      <c r="D299" s="8">
        <f>ROUNDUP(D303,0)</f>
        <v>79</v>
      </c>
      <c r="E299" s="6" t="str">
        <f>E37</f>
        <v>SF</v>
      </c>
      <c r="F299" s="22" t="str">
        <f>F37</f>
        <v>1/2" PREFORMED EXPANSION JOINT FILLER</v>
      </c>
      <c r="G299" s="84"/>
      <c r="H299" s="84"/>
      <c r="I299" s="84"/>
      <c r="J299" s="84"/>
      <c r="K299" s="84"/>
      <c r="L299" s="84"/>
      <c r="M299" s="84"/>
      <c r="N299" s="85"/>
      <c r="O299" s="84"/>
    </row>
    <row r="300" spans="1:15" x14ac:dyDescent="0.3">
      <c r="D300" s="82">
        <f>D322</f>
        <v>39.457999999999998</v>
      </c>
      <c r="E300" s="128" t="s">
        <v>34</v>
      </c>
      <c r="F300" s="128" t="s">
        <v>254</v>
      </c>
    </row>
    <row r="301" spans="1:15" x14ac:dyDescent="0.3">
      <c r="D301" s="80">
        <v>1</v>
      </c>
      <c r="E301" s="128" t="s">
        <v>34</v>
      </c>
      <c r="F301" s="128" t="s">
        <v>118</v>
      </c>
    </row>
    <row r="302" spans="1:15" x14ac:dyDescent="0.3">
      <c r="D302" s="80">
        <v>2</v>
      </c>
      <c r="E302" s="28" t="s">
        <v>37</v>
      </c>
      <c r="F302" s="128" t="s">
        <v>99</v>
      </c>
    </row>
    <row r="303" spans="1:15" x14ac:dyDescent="0.3">
      <c r="D303" s="9">
        <f>D300*D301*D302</f>
        <v>78.915999999999997</v>
      </c>
      <c r="E303" s="10" t="s">
        <v>255</v>
      </c>
      <c r="F303" s="10"/>
    </row>
    <row r="304" spans="1:15" x14ac:dyDescent="0.3">
      <c r="D304" s="9"/>
      <c r="E304" s="10"/>
      <c r="F304" s="10"/>
    </row>
    <row r="305" spans="2:15" x14ac:dyDescent="0.3">
      <c r="B305" s="6">
        <f>B38</f>
        <v>516</v>
      </c>
      <c r="C305" s="6" t="str">
        <f>C38</f>
        <v>13600</v>
      </c>
      <c r="D305" s="8">
        <f>ROUNDUP(D312,0)</f>
        <v>82</v>
      </c>
      <c r="E305" s="6" t="str">
        <f>E38</f>
        <v>SF</v>
      </c>
      <c r="F305" s="22" t="str">
        <f>F38</f>
        <v>1" PREFORMED EXPANSION JOINT FILLER</v>
      </c>
      <c r="G305" s="84"/>
      <c r="H305" s="84"/>
      <c r="I305" s="84"/>
      <c r="J305" s="84"/>
      <c r="K305" s="84"/>
      <c r="L305" s="84"/>
      <c r="M305" s="84"/>
      <c r="N305" s="85"/>
      <c r="O305" s="84"/>
    </row>
    <row r="306" spans="2:15" x14ac:dyDescent="0.3">
      <c r="D306" s="82">
        <f>D322</f>
        <v>39.457999999999998</v>
      </c>
      <c r="E306" s="128" t="s">
        <v>34</v>
      </c>
      <c r="F306" s="128" t="s">
        <v>254</v>
      </c>
    </row>
    <row r="307" spans="2:15" x14ac:dyDescent="0.3">
      <c r="D307" s="80">
        <v>1</v>
      </c>
      <c r="E307" s="128" t="s">
        <v>34</v>
      </c>
      <c r="F307" s="128" t="s">
        <v>118</v>
      </c>
    </row>
    <row r="308" spans="2:15" x14ac:dyDescent="0.3">
      <c r="D308" s="80">
        <v>2</v>
      </c>
      <c r="E308" s="28" t="s">
        <v>37</v>
      </c>
      <c r="F308" s="128" t="s">
        <v>99</v>
      </c>
    </row>
    <row r="309" spans="2:15" x14ac:dyDescent="0.3">
      <c r="D309" s="80">
        <f>0.5</f>
        <v>0.5</v>
      </c>
      <c r="E309" s="137" t="s">
        <v>34</v>
      </c>
      <c r="F309" s="137" t="s">
        <v>282</v>
      </c>
    </row>
    <row r="310" spans="2:15" x14ac:dyDescent="0.3">
      <c r="D310" s="80">
        <f>13/12</f>
        <v>1.0833333333333333</v>
      </c>
      <c r="E310" s="137" t="s">
        <v>34</v>
      </c>
      <c r="F310" s="137" t="s">
        <v>283</v>
      </c>
    </row>
    <row r="311" spans="2:15" x14ac:dyDescent="0.3">
      <c r="D311" s="80">
        <v>4</v>
      </c>
      <c r="E311" s="137" t="s">
        <v>37</v>
      </c>
      <c r="F311" s="137" t="s">
        <v>284</v>
      </c>
    </row>
    <row r="312" spans="2:15" x14ac:dyDescent="0.3">
      <c r="D312" s="9">
        <f>(D306*D307*D308)+(D309*D310*D311)</f>
        <v>81.082666666666668</v>
      </c>
      <c r="E312" s="10" t="s">
        <v>255</v>
      </c>
      <c r="F312" s="10"/>
    </row>
    <row r="313" spans="2:15" x14ac:dyDescent="0.3">
      <c r="D313" s="9"/>
      <c r="E313" s="10"/>
      <c r="F313" s="10"/>
    </row>
    <row r="314" spans="2:15" x14ac:dyDescent="0.3">
      <c r="B314" s="6">
        <f>B39</f>
        <v>516</v>
      </c>
      <c r="C314" s="7" t="str">
        <f>C39</f>
        <v>13900</v>
      </c>
      <c r="D314" s="8">
        <f>ROUNDUP(D319,0)</f>
        <v>65</v>
      </c>
      <c r="E314" s="6" t="str">
        <f>E39</f>
        <v>SF</v>
      </c>
      <c r="F314" s="22" t="str">
        <f>F39</f>
        <v>2" PREFORMED EXPANSION JOINT FILLER</v>
      </c>
      <c r="G314" s="84"/>
      <c r="H314" s="84"/>
      <c r="I314" s="84"/>
      <c r="J314" s="84"/>
      <c r="K314" s="84"/>
      <c r="L314" s="84"/>
      <c r="M314" s="84"/>
      <c r="N314" s="85"/>
      <c r="O314" s="84"/>
    </row>
    <row r="315" spans="2:15" x14ac:dyDescent="0.3">
      <c r="D315" s="82">
        <f>D325</f>
        <v>6.44</v>
      </c>
      <c r="E315" s="128" t="s">
        <v>34</v>
      </c>
      <c r="F315" s="128" t="s">
        <v>256</v>
      </c>
    </row>
    <row r="316" spans="2:15" x14ac:dyDescent="0.3">
      <c r="D316" s="80">
        <v>2.5</v>
      </c>
      <c r="E316" s="128" t="s">
        <v>34</v>
      </c>
      <c r="F316" s="128" t="s">
        <v>257</v>
      </c>
    </row>
    <row r="317" spans="2:15" x14ac:dyDescent="0.3">
      <c r="D317" s="80">
        <v>2</v>
      </c>
      <c r="E317" s="130" t="s">
        <v>37</v>
      </c>
      <c r="F317" s="130" t="s">
        <v>260</v>
      </c>
    </row>
    <row r="318" spans="2:15" x14ac:dyDescent="0.3">
      <c r="D318" s="80">
        <v>2</v>
      </c>
      <c r="E318" s="28" t="s">
        <v>37</v>
      </c>
      <c r="F318" s="128" t="s">
        <v>99</v>
      </c>
    </row>
    <row r="319" spans="2:15" x14ac:dyDescent="0.3">
      <c r="D319" s="9">
        <f>D315*D316*D318*D317</f>
        <v>64.400000000000006</v>
      </c>
      <c r="E319" s="10" t="s">
        <v>255</v>
      </c>
      <c r="F319" s="10"/>
    </row>
    <row r="320" spans="2:15" x14ac:dyDescent="0.3">
      <c r="D320" s="9"/>
      <c r="E320" s="10"/>
      <c r="F320" s="10"/>
    </row>
    <row r="321" spans="1:15" x14ac:dyDescent="0.3">
      <c r="A321" s="86"/>
      <c r="B321" s="6">
        <f>B40</f>
        <v>516</v>
      </c>
      <c r="C321" s="7" t="str">
        <f>C40</f>
        <v>14014</v>
      </c>
      <c r="D321" s="8">
        <f>D328</f>
        <v>104.676</v>
      </c>
      <c r="E321" s="7" t="str">
        <f>E40</f>
        <v>FT</v>
      </c>
      <c r="F321" s="17" t="str">
        <f>F40</f>
        <v>INTEGRAL ABUTMENT EXPANSION JOINT SEAL</v>
      </c>
      <c r="G321" s="84"/>
      <c r="H321" s="84"/>
      <c r="I321" s="84"/>
      <c r="J321" s="84"/>
      <c r="K321" s="84"/>
      <c r="L321" s="84"/>
      <c r="M321" s="84"/>
      <c r="N321" s="85"/>
      <c r="O321" s="84"/>
    </row>
    <row r="322" spans="1:15" x14ac:dyDescent="0.3">
      <c r="B322" s="33"/>
      <c r="C322" s="33"/>
      <c r="D322" s="80">
        <v>39.457999999999998</v>
      </c>
      <c r="E322" s="28" t="s">
        <v>34</v>
      </c>
      <c r="F322" s="28" t="s">
        <v>191</v>
      </c>
      <c r="G322" s="86"/>
      <c r="H322" s="86"/>
      <c r="I322" s="86"/>
      <c r="J322" s="86"/>
      <c r="K322" s="86"/>
      <c r="L322" s="86"/>
      <c r="M322" s="86"/>
      <c r="N322" s="87"/>
      <c r="O322" s="86"/>
    </row>
    <row r="323" spans="1:15" x14ac:dyDescent="0.3">
      <c r="B323" s="33"/>
      <c r="C323" s="33"/>
      <c r="D323" s="80">
        <f>D62</f>
        <v>0</v>
      </c>
      <c r="E323" s="28" t="s">
        <v>73</v>
      </c>
      <c r="F323" s="28" t="s">
        <v>74</v>
      </c>
      <c r="G323" s="86"/>
      <c r="H323" s="86"/>
      <c r="I323" s="86"/>
      <c r="J323" s="86"/>
      <c r="K323" s="86"/>
      <c r="L323" s="86"/>
      <c r="M323" s="86"/>
      <c r="N323" s="87"/>
      <c r="O323" s="86"/>
    </row>
    <row r="324" spans="1:15" x14ac:dyDescent="0.3">
      <c r="D324" s="80">
        <f>D322/COS(D323*PI()/180)</f>
        <v>39.457999999999998</v>
      </c>
      <c r="E324" s="28" t="s">
        <v>34</v>
      </c>
      <c r="F324" s="28" t="s">
        <v>75</v>
      </c>
    </row>
    <row r="325" spans="1:15" x14ac:dyDescent="0.3">
      <c r="D325" s="80">
        <v>6.44</v>
      </c>
      <c r="E325" s="28" t="s">
        <v>34</v>
      </c>
      <c r="F325" s="28" t="s">
        <v>192</v>
      </c>
    </row>
    <row r="326" spans="1:15" x14ac:dyDescent="0.3">
      <c r="D326" s="80">
        <v>2</v>
      </c>
      <c r="E326" s="28" t="s">
        <v>37</v>
      </c>
      <c r="F326" s="28" t="s">
        <v>193</v>
      </c>
    </row>
    <row r="327" spans="1:15" x14ac:dyDescent="0.3">
      <c r="D327" s="80">
        <v>2</v>
      </c>
      <c r="E327" s="28" t="s">
        <v>37</v>
      </c>
      <c r="F327" s="28" t="s">
        <v>169</v>
      </c>
    </row>
    <row r="328" spans="1:15" x14ac:dyDescent="0.3">
      <c r="D328" s="9">
        <f>D322*2+D325*D326*D327</f>
        <v>104.676</v>
      </c>
      <c r="E328" s="10" t="s">
        <v>23</v>
      </c>
      <c r="F328" s="10" t="s">
        <v>44</v>
      </c>
    </row>
    <row r="330" spans="1:15" x14ac:dyDescent="0.3">
      <c r="A330" s="86"/>
      <c r="B330" s="6">
        <f>B41</f>
        <v>516</v>
      </c>
      <c r="C330" s="6" t="str">
        <f>C41</f>
        <v>44001</v>
      </c>
      <c r="D330" s="8">
        <f>D334</f>
        <v>10</v>
      </c>
      <c r="E330" s="6" t="str">
        <f>E41</f>
        <v>EACH</v>
      </c>
      <c r="F330" s="22" t="str">
        <f>F41</f>
        <v>1'-4" x 1'-0" x 1 7/8" ELASTOMERIC BEARING WITH INTERNAL LAMINATES AND LOAD PLATE 1'-5" x 1'-1" x 1 1/2" (NEOPRENE), AS PER PLAN</v>
      </c>
      <c r="G330" s="84"/>
      <c r="H330" s="84"/>
      <c r="I330" s="84"/>
      <c r="J330" s="84"/>
      <c r="K330" s="84"/>
      <c r="L330" s="84"/>
      <c r="M330" s="84"/>
      <c r="N330" s="85"/>
      <c r="O330" s="84"/>
    </row>
    <row r="331" spans="1:15" x14ac:dyDescent="0.3">
      <c r="D331" s="82">
        <f>D288</f>
        <v>5</v>
      </c>
      <c r="E331" s="28" t="s">
        <v>37</v>
      </c>
      <c r="F331" s="28" t="s">
        <v>96</v>
      </c>
    </row>
    <row r="332" spans="1:15" x14ac:dyDescent="0.3">
      <c r="D332" s="80">
        <v>1</v>
      </c>
      <c r="E332" s="28" t="s">
        <v>37</v>
      </c>
      <c r="F332" s="28" t="s">
        <v>103</v>
      </c>
    </row>
    <row r="333" spans="1:15" x14ac:dyDescent="0.3">
      <c r="D333" s="80">
        <v>2</v>
      </c>
      <c r="E333" s="28" t="s">
        <v>37</v>
      </c>
      <c r="F333" s="28" t="s">
        <v>107</v>
      </c>
    </row>
    <row r="334" spans="1:15" x14ac:dyDescent="0.3">
      <c r="D334" s="9">
        <f>D331*D332*D333</f>
        <v>10</v>
      </c>
      <c r="E334" s="10" t="s">
        <v>37</v>
      </c>
      <c r="F334" s="10" t="s">
        <v>44</v>
      </c>
    </row>
    <row r="336" spans="1:15" x14ac:dyDescent="0.3">
      <c r="A336" s="86"/>
      <c r="B336" s="6">
        <f>B43</f>
        <v>517</v>
      </c>
      <c r="C336" s="6" t="str">
        <f>C43</f>
        <v>70100</v>
      </c>
      <c r="D336" s="8">
        <f>D342</f>
        <v>181.66</v>
      </c>
      <c r="E336" s="6" t="str">
        <f>E43</f>
        <v>FT</v>
      </c>
      <c r="F336" s="22" t="str">
        <f>F43</f>
        <v>RAILING (THREE STEEL TUBE BRIDGE RAILING)</v>
      </c>
      <c r="G336" s="84"/>
      <c r="H336" s="84"/>
      <c r="I336" s="84"/>
      <c r="J336" s="84"/>
      <c r="K336" s="84"/>
      <c r="L336" s="84"/>
      <c r="M336" s="84"/>
      <c r="N336" s="85"/>
      <c r="O336" s="84"/>
    </row>
    <row r="337" spans="1:15" x14ac:dyDescent="0.3">
      <c r="D337" s="28"/>
    </row>
    <row r="338" spans="1:15" x14ac:dyDescent="0.3">
      <c r="D338" s="138">
        <v>77.33</v>
      </c>
      <c r="E338" s="137" t="s">
        <v>34</v>
      </c>
      <c r="F338" s="137" t="s">
        <v>285</v>
      </c>
    </row>
    <row r="339" spans="1:15" x14ac:dyDescent="0.3">
      <c r="D339" s="138">
        <v>1.25</v>
      </c>
      <c r="E339" s="137" t="s">
        <v>34</v>
      </c>
      <c r="F339" s="137" t="s">
        <v>286</v>
      </c>
    </row>
    <row r="340" spans="1:15" x14ac:dyDescent="0.3">
      <c r="D340" s="138">
        <v>8</v>
      </c>
      <c r="E340" s="137" t="s">
        <v>34</v>
      </c>
      <c r="F340" s="137" t="s">
        <v>287</v>
      </c>
    </row>
    <row r="341" spans="1:15" x14ac:dyDescent="0.3">
      <c r="D341" s="138">
        <v>2</v>
      </c>
      <c r="E341" s="137" t="s">
        <v>37</v>
      </c>
      <c r="F341" s="137" t="s">
        <v>288</v>
      </c>
    </row>
    <row r="342" spans="1:15" x14ac:dyDescent="0.3">
      <c r="D342" s="9">
        <f>(D338-(D339*2)+(D340*2))*D341</f>
        <v>181.66</v>
      </c>
      <c r="E342" s="10" t="s">
        <v>34</v>
      </c>
      <c r="F342" s="10" t="s">
        <v>44</v>
      </c>
    </row>
    <row r="344" spans="1:15" x14ac:dyDescent="0.3">
      <c r="A344" s="86"/>
      <c r="B344" s="6">
        <f>B45</f>
        <v>518</v>
      </c>
      <c r="C344" s="6" t="str">
        <f>C45</f>
        <v>21201</v>
      </c>
      <c r="D344" s="8">
        <f>D367</f>
        <v>352</v>
      </c>
      <c r="E344" s="6" t="str">
        <f>E45</f>
        <v>CY</v>
      </c>
      <c r="F344" s="22" t="str">
        <f>F45</f>
        <v>POROUS BACKFILL WITH GEOTEXTILE FABRIC, AS PER PLAN</v>
      </c>
      <c r="G344" s="84"/>
      <c r="H344" s="84"/>
      <c r="I344" s="84"/>
      <c r="J344" s="84"/>
      <c r="K344" s="84"/>
      <c r="L344" s="84"/>
      <c r="M344" s="84"/>
      <c r="N344" s="85"/>
      <c r="O344" s="84"/>
    </row>
    <row r="345" spans="1:15" x14ac:dyDescent="0.3">
      <c r="C345" s="28" t="s">
        <v>134</v>
      </c>
      <c r="D345" s="80">
        <v>14.25</v>
      </c>
      <c r="E345" s="28" t="s">
        <v>34</v>
      </c>
      <c r="F345" s="28" t="s">
        <v>196</v>
      </c>
    </row>
    <row r="346" spans="1:15" x14ac:dyDescent="0.3">
      <c r="D346" s="82">
        <f>13/12</f>
        <v>1.0833333333333333</v>
      </c>
      <c r="E346" s="28" t="s">
        <v>34</v>
      </c>
      <c r="F346" s="28" t="s">
        <v>130</v>
      </c>
    </row>
    <row r="347" spans="1:15" x14ac:dyDescent="0.3">
      <c r="D347" s="82">
        <f>D345-D346</f>
        <v>13.166666666666666</v>
      </c>
      <c r="E347" s="28" t="s">
        <v>34</v>
      </c>
      <c r="F347" s="28" t="s">
        <v>131</v>
      </c>
    </row>
    <row r="348" spans="1:15" x14ac:dyDescent="0.3">
      <c r="D348" s="82">
        <v>43.96</v>
      </c>
      <c r="E348" s="28" t="s">
        <v>34</v>
      </c>
      <c r="F348" s="28" t="s">
        <v>197</v>
      </c>
    </row>
    <row r="349" spans="1:15" x14ac:dyDescent="0.3">
      <c r="D349" s="80">
        <f>(7+(5.75/12)+7+(2.25/12))</f>
        <v>14.666666666666668</v>
      </c>
      <c r="E349" s="28" t="s">
        <v>34</v>
      </c>
      <c r="F349" s="28" t="s">
        <v>132</v>
      </c>
    </row>
    <row r="350" spans="1:15" x14ac:dyDescent="0.3">
      <c r="D350" s="82">
        <f>D347*D349*D348</f>
        <v>8489.1644444444446</v>
      </c>
      <c r="E350" s="28" t="s">
        <v>41</v>
      </c>
      <c r="F350" s="28" t="s">
        <v>133</v>
      </c>
    </row>
    <row r="351" spans="1:15" x14ac:dyDescent="0.3">
      <c r="D351" s="82"/>
    </row>
    <row r="352" spans="1:15" x14ac:dyDescent="0.3">
      <c r="C352" s="137" t="s">
        <v>289</v>
      </c>
      <c r="D352" s="80">
        <v>17</v>
      </c>
      <c r="E352" s="28" t="s">
        <v>34</v>
      </c>
      <c r="F352" s="137" t="s">
        <v>290</v>
      </c>
      <c r="H352" s="137" t="s">
        <v>296</v>
      </c>
      <c r="I352" s="80">
        <v>14</v>
      </c>
      <c r="J352" s="28" t="s">
        <v>34</v>
      </c>
      <c r="K352" s="137" t="s">
        <v>290</v>
      </c>
    </row>
    <row r="353" spans="3:11" x14ac:dyDescent="0.3">
      <c r="D353" s="80">
        <v>14.25</v>
      </c>
      <c r="E353" s="28" t="s">
        <v>34</v>
      </c>
      <c r="F353" s="137" t="s">
        <v>291</v>
      </c>
      <c r="I353" s="80">
        <v>14.25</v>
      </c>
      <c r="J353" s="28" t="s">
        <v>34</v>
      </c>
      <c r="K353" s="137" t="s">
        <v>291</v>
      </c>
    </row>
    <row r="354" spans="3:11" x14ac:dyDescent="0.3">
      <c r="D354" s="80">
        <v>6</v>
      </c>
      <c r="E354" s="28" t="s">
        <v>34</v>
      </c>
      <c r="F354" s="137" t="s">
        <v>292</v>
      </c>
      <c r="I354" s="80">
        <v>6</v>
      </c>
      <c r="J354" s="28" t="s">
        <v>34</v>
      </c>
      <c r="K354" s="137" t="s">
        <v>292</v>
      </c>
    </row>
    <row r="355" spans="3:11" x14ac:dyDescent="0.3">
      <c r="D355" s="82">
        <f>AVERAGE(D353:D354)-1.5</f>
        <v>8.625</v>
      </c>
      <c r="E355" s="137" t="s">
        <v>34</v>
      </c>
      <c r="F355" s="137" t="s">
        <v>293</v>
      </c>
      <c r="I355" s="82">
        <f>AVERAGE(I353:I354)-1.5</f>
        <v>8.625</v>
      </c>
      <c r="J355" s="137" t="s">
        <v>34</v>
      </c>
      <c r="K355" s="137" t="s">
        <v>293</v>
      </c>
    </row>
    <row r="356" spans="3:11" x14ac:dyDescent="0.3">
      <c r="D356" s="80">
        <v>2</v>
      </c>
      <c r="E356" s="137" t="s">
        <v>34</v>
      </c>
      <c r="F356" s="137" t="s">
        <v>294</v>
      </c>
      <c r="I356" s="80">
        <v>2</v>
      </c>
      <c r="J356" s="137" t="s">
        <v>34</v>
      </c>
      <c r="K356" s="137" t="s">
        <v>294</v>
      </c>
    </row>
    <row r="357" spans="3:11" x14ac:dyDescent="0.3">
      <c r="D357" s="82">
        <f>D355*D356*D352</f>
        <v>293.25</v>
      </c>
      <c r="E357" s="28" t="s">
        <v>41</v>
      </c>
      <c r="F357" s="28" t="s">
        <v>138</v>
      </c>
      <c r="I357" s="82">
        <f>I355*I356*I352</f>
        <v>241.5</v>
      </c>
      <c r="J357" s="28" t="s">
        <v>41</v>
      </c>
      <c r="K357" s="28" t="s">
        <v>138</v>
      </c>
    </row>
    <row r="358" spans="3:11" x14ac:dyDescent="0.3">
      <c r="D358" s="82"/>
      <c r="I358" s="82"/>
    </row>
    <row r="359" spans="3:11" x14ac:dyDescent="0.3">
      <c r="C359" s="137" t="s">
        <v>295</v>
      </c>
      <c r="D359" s="80">
        <v>14</v>
      </c>
      <c r="E359" s="28" t="s">
        <v>34</v>
      </c>
      <c r="F359" s="137" t="s">
        <v>290</v>
      </c>
      <c r="H359" s="137" t="s">
        <v>297</v>
      </c>
      <c r="I359" s="80">
        <v>14</v>
      </c>
      <c r="J359" s="28" t="s">
        <v>34</v>
      </c>
      <c r="K359" s="137" t="s">
        <v>290</v>
      </c>
    </row>
    <row r="360" spans="3:11" x14ac:dyDescent="0.3">
      <c r="D360" s="80">
        <v>13.62</v>
      </c>
      <c r="E360" s="28" t="s">
        <v>34</v>
      </c>
      <c r="F360" s="137" t="s">
        <v>291</v>
      </c>
      <c r="I360" s="80">
        <v>13.62</v>
      </c>
      <c r="J360" s="28" t="s">
        <v>34</v>
      </c>
      <c r="K360" s="137" t="s">
        <v>291</v>
      </c>
    </row>
    <row r="361" spans="3:11" x14ac:dyDescent="0.3">
      <c r="D361" s="80">
        <v>6</v>
      </c>
      <c r="E361" s="28" t="s">
        <v>34</v>
      </c>
      <c r="F361" s="137" t="s">
        <v>292</v>
      </c>
      <c r="I361" s="80">
        <v>6</v>
      </c>
      <c r="J361" s="28" t="s">
        <v>34</v>
      </c>
      <c r="K361" s="137" t="s">
        <v>292</v>
      </c>
    </row>
    <row r="362" spans="3:11" x14ac:dyDescent="0.3">
      <c r="D362" s="82">
        <f>AVERAGE(D360:D361)-1.5</f>
        <v>8.3099999999999987</v>
      </c>
      <c r="E362" s="137" t="s">
        <v>34</v>
      </c>
      <c r="F362" s="137" t="s">
        <v>293</v>
      </c>
      <c r="I362" s="82">
        <f>AVERAGE(I360:I361)-1.5</f>
        <v>8.3099999999999987</v>
      </c>
      <c r="J362" s="137" t="s">
        <v>34</v>
      </c>
      <c r="K362" s="137" t="s">
        <v>293</v>
      </c>
    </row>
    <row r="363" spans="3:11" x14ac:dyDescent="0.3">
      <c r="D363" s="80">
        <v>2</v>
      </c>
      <c r="E363" s="137" t="s">
        <v>34</v>
      </c>
      <c r="F363" s="137" t="s">
        <v>294</v>
      </c>
      <c r="I363" s="80">
        <v>2</v>
      </c>
      <c r="J363" s="137" t="s">
        <v>34</v>
      </c>
      <c r="K363" s="137" t="s">
        <v>294</v>
      </c>
    </row>
    <row r="364" spans="3:11" x14ac:dyDescent="0.3">
      <c r="D364" s="82">
        <f>D362*D363*D359</f>
        <v>232.67999999999995</v>
      </c>
      <c r="E364" s="28" t="s">
        <v>41</v>
      </c>
      <c r="F364" s="28" t="s">
        <v>138</v>
      </c>
      <c r="I364" s="82">
        <f>I362*I363*I359</f>
        <v>232.67999999999995</v>
      </c>
      <c r="J364" s="28" t="s">
        <v>41</v>
      </c>
      <c r="K364" s="28" t="s">
        <v>138</v>
      </c>
    </row>
    <row r="365" spans="3:11" x14ac:dyDescent="0.3">
      <c r="D365" s="82"/>
    </row>
    <row r="366" spans="3:11" x14ac:dyDescent="0.3">
      <c r="D366" s="82">
        <f>D350+D357+I357+D364+I364</f>
        <v>9489.2744444444452</v>
      </c>
      <c r="E366" s="28" t="s">
        <v>41</v>
      </c>
      <c r="F366" s="28" t="s">
        <v>44</v>
      </c>
    </row>
    <row r="367" spans="3:11" x14ac:dyDescent="0.3">
      <c r="D367" s="9">
        <f>ROUNDUP(D366/27,0)</f>
        <v>352</v>
      </c>
      <c r="E367" s="10" t="s">
        <v>34</v>
      </c>
      <c r="F367" s="10" t="s">
        <v>44</v>
      </c>
    </row>
    <row r="369" spans="1:15" x14ac:dyDescent="0.3">
      <c r="A369" s="86"/>
      <c r="B369" s="6">
        <f>B46</f>
        <v>518</v>
      </c>
      <c r="C369" s="6" t="str">
        <f>C46</f>
        <v>40000</v>
      </c>
      <c r="D369" s="8">
        <f>D372</f>
        <v>147</v>
      </c>
      <c r="E369" s="6" t="str">
        <f>E46</f>
        <v>FT</v>
      </c>
      <c r="F369" s="22" t="str">
        <f>F46</f>
        <v>6" PERFORATED CORRUGATED PLASTIC PIPE</v>
      </c>
      <c r="G369" s="84"/>
      <c r="H369" s="84"/>
      <c r="I369" s="84"/>
      <c r="J369" s="84"/>
      <c r="K369" s="84"/>
      <c r="L369" s="84"/>
      <c r="M369" s="84"/>
      <c r="N369" s="85"/>
      <c r="O369" s="84"/>
    </row>
    <row r="370" spans="1:15" x14ac:dyDescent="0.3">
      <c r="D370" s="82">
        <v>75</v>
      </c>
      <c r="E370" s="28" t="s">
        <v>34</v>
      </c>
      <c r="F370" s="28" t="s">
        <v>198</v>
      </c>
    </row>
    <row r="371" spans="1:15" x14ac:dyDescent="0.3">
      <c r="D371" s="82">
        <v>72</v>
      </c>
      <c r="E371" s="28" t="s">
        <v>34</v>
      </c>
      <c r="F371" s="28" t="s">
        <v>199</v>
      </c>
    </row>
    <row r="372" spans="1:15" x14ac:dyDescent="0.3">
      <c r="D372" s="9">
        <f>D370+D371</f>
        <v>147</v>
      </c>
      <c r="E372" s="10" t="s">
        <v>34</v>
      </c>
      <c r="F372" s="10" t="s">
        <v>44</v>
      </c>
    </row>
    <row r="374" spans="1:15" x14ac:dyDescent="0.3">
      <c r="A374" s="86"/>
      <c r="B374" s="6">
        <f>B47</f>
        <v>518</v>
      </c>
      <c r="C374" s="7" t="str">
        <f>C47</f>
        <v>40010</v>
      </c>
      <c r="D374" s="8">
        <f>D378</f>
        <v>60</v>
      </c>
      <c r="E374" s="6" t="str">
        <f>E46</f>
        <v>FT</v>
      </c>
      <c r="F374" s="22" t="str">
        <f>F47</f>
        <v>6" NON-PERFORATED CORRUGATED PLASTIC PIPE, INCLUDING SPECIALS</v>
      </c>
      <c r="G374" s="84"/>
      <c r="H374" s="84"/>
      <c r="I374" s="84"/>
      <c r="J374" s="84"/>
      <c r="K374" s="84"/>
      <c r="L374" s="84"/>
      <c r="M374" s="84"/>
      <c r="N374" s="85"/>
      <c r="O374" s="84"/>
    </row>
    <row r="375" spans="1:15" x14ac:dyDescent="0.3">
      <c r="D375" s="82">
        <v>15</v>
      </c>
      <c r="E375" s="28" t="s">
        <v>34</v>
      </c>
      <c r="F375" s="28" t="s">
        <v>108</v>
      </c>
    </row>
    <row r="376" spans="1:15" x14ac:dyDescent="0.3">
      <c r="D376" s="80">
        <v>2</v>
      </c>
      <c r="E376" s="28" t="s">
        <v>37</v>
      </c>
      <c r="F376" s="28" t="s">
        <v>60</v>
      </c>
    </row>
    <row r="377" spans="1:15" x14ac:dyDescent="0.3">
      <c r="D377" s="80">
        <v>2</v>
      </c>
      <c r="E377" s="28" t="s">
        <v>37</v>
      </c>
      <c r="F377" s="28" t="s">
        <v>99</v>
      </c>
    </row>
    <row r="378" spans="1:15" x14ac:dyDescent="0.3">
      <c r="D378" s="9">
        <f>ROUNDUP(D375*D377*D376,0)</f>
        <v>60</v>
      </c>
      <c r="E378" s="10" t="s">
        <v>34</v>
      </c>
      <c r="F378" s="10" t="s">
        <v>44</v>
      </c>
    </row>
    <row r="380" spans="1:15" x14ac:dyDescent="0.3">
      <c r="A380" s="86"/>
      <c r="B380" s="6">
        <f>B49</f>
        <v>526</v>
      </c>
      <c r="C380" s="6" t="str">
        <f>C49</f>
        <v>15010</v>
      </c>
      <c r="D380" s="8">
        <f>D385</f>
        <v>161</v>
      </c>
      <c r="E380" s="6" t="str">
        <f>E49</f>
        <v>SY</v>
      </c>
      <c r="F380" s="22" t="str">
        <f>F49</f>
        <v>REINFORCED CONCRETE APPROACH SLABS WITH QC/QA (T=13")</v>
      </c>
      <c r="G380" s="84"/>
      <c r="H380" s="84"/>
      <c r="I380" s="84"/>
      <c r="J380" s="84"/>
      <c r="K380" s="84"/>
      <c r="L380" s="84"/>
      <c r="M380" s="84"/>
      <c r="N380" s="85"/>
      <c r="O380" s="84"/>
    </row>
    <row r="381" spans="1:15" x14ac:dyDescent="0.3">
      <c r="D381" s="82">
        <f>(36+36.125)/2</f>
        <v>36.0625</v>
      </c>
      <c r="E381" s="28" t="s">
        <v>34</v>
      </c>
      <c r="F381" s="28" t="s">
        <v>70</v>
      </c>
    </row>
    <row r="382" spans="1:15" x14ac:dyDescent="0.3">
      <c r="D382" s="82">
        <f>D81</f>
        <v>20</v>
      </c>
      <c r="E382" s="28" t="s">
        <v>34</v>
      </c>
      <c r="F382" s="28" t="s">
        <v>64</v>
      </c>
    </row>
    <row r="383" spans="1:15" x14ac:dyDescent="0.3">
      <c r="D383" s="80">
        <v>2</v>
      </c>
      <c r="E383" s="28" t="s">
        <v>37</v>
      </c>
      <c r="F383" s="28" t="s">
        <v>71</v>
      </c>
    </row>
    <row r="384" spans="1:15" x14ac:dyDescent="0.3">
      <c r="D384" s="82">
        <f>D381*D382*D383</f>
        <v>1442.5</v>
      </c>
      <c r="E384" s="28" t="s">
        <v>66</v>
      </c>
      <c r="F384" s="28" t="s">
        <v>44</v>
      </c>
    </row>
    <row r="385" spans="1:15" x14ac:dyDescent="0.3">
      <c r="D385" s="9">
        <f>ROUNDUP(D384/9,0)</f>
        <v>161</v>
      </c>
      <c r="E385" s="10" t="s">
        <v>69</v>
      </c>
      <c r="F385" s="10" t="s">
        <v>44</v>
      </c>
    </row>
    <row r="387" spans="1:15" x14ac:dyDescent="0.3">
      <c r="A387" s="86"/>
      <c r="B387" s="6">
        <f>B50</f>
        <v>526</v>
      </c>
      <c r="C387" s="6">
        <f>C50</f>
        <v>90010</v>
      </c>
      <c r="D387" s="11">
        <f>ROUNDUP(D392,0)</f>
        <v>72</v>
      </c>
      <c r="E387" s="6" t="str">
        <f>E50</f>
        <v>FT</v>
      </c>
      <c r="F387" s="22" t="str">
        <f>F50</f>
        <v>TYPE A INSTALLATION</v>
      </c>
      <c r="G387" s="22"/>
      <c r="H387" s="88"/>
      <c r="I387" s="88"/>
      <c r="J387" s="88"/>
      <c r="K387" s="88"/>
      <c r="L387" s="88"/>
      <c r="M387" s="88"/>
      <c r="N387" s="89"/>
      <c r="O387" s="88"/>
    </row>
    <row r="388" spans="1:15" x14ac:dyDescent="0.3">
      <c r="B388" s="33"/>
      <c r="C388" s="33"/>
      <c r="D388" s="82">
        <f>36</f>
        <v>36</v>
      </c>
      <c r="E388" s="28" t="s">
        <v>34</v>
      </c>
      <c r="F388" s="28" t="s">
        <v>72</v>
      </c>
      <c r="G388" s="86"/>
      <c r="H388" s="86"/>
      <c r="I388" s="86"/>
      <c r="J388" s="86"/>
      <c r="K388" s="86"/>
      <c r="L388" s="86"/>
      <c r="M388" s="86"/>
      <c r="N388" s="87"/>
      <c r="O388" s="86"/>
    </row>
    <row r="389" spans="1:15" x14ac:dyDescent="0.3">
      <c r="B389" s="33"/>
      <c r="C389" s="33"/>
      <c r="D389" s="82">
        <f>D62</f>
        <v>0</v>
      </c>
      <c r="E389" s="28" t="s">
        <v>73</v>
      </c>
      <c r="F389" s="28" t="s">
        <v>74</v>
      </c>
      <c r="G389" s="86"/>
      <c r="H389" s="86"/>
      <c r="I389" s="86"/>
      <c r="J389" s="86"/>
      <c r="K389" s="86"/>
      <c r="L389" s="86"/>
      <c r="M389" s="86"/>
      <c r="N389" s="87"/>
      <c r="O389" s="86"/>
    </row>
    <row r="390" spans="1:15" x14ac:dyDescent="0.3">
      <c r="D390" s="82">
        <f>D388/COS(D389*PI()/180)</f>
        <v>36</v>
      </c>
      <c r="E390" s="28" t="s">
        <v>34</v>
      </c>
      <c r="F390" s="28" t="s">
        <v>75</v>
      </c>
    </row>
    <row r="391" spans="1:15" x14ac:dyDescent="0.3">
      <c r="D391" s="80">
        <v>2</v>
      </c>
      <c r="E391" s="28" t="s">
        <v>37</v>
      </c>
      <c r="F391" s="28" t="s">
        <v>65</v>
      </c>
    </row>
    <row r="392" spans="1:15" x14ac:dyDescent="0.3">
      <c r="D392" s="9">
        <f>D390*D391</f>
        <v>72</v>
      </c>
      <c r="E392" s="10" t="s">
        <v>23</v>
      </c>
      <c r="F392" s="10" t="s">
        <v>44</v>
      </c>
    </row>
    <row r="394" spans="1:15" x14ac:dyDescent="0.3">
      <c r="A394" s="86"/>
      <c r="B394" s="6">
        <f>B52</f>
        <v>601</v>
      </c>
      <c r="C394" s="12" t="str">
        <f>C52</f>
        <v>32200</v>
      </c>
      <c r="D394" s="6">
        <f>ROUNDUP(D401,0)</f>
        <v>134</v>
      </c>
      <c r="E394" s="6" t="str">
        <f>E52</f>
        <v>CY</v>
      </c>
      <c r="F394" s="22" t="str">
        <f>F52</f>
        <v>ROCK CHANNEL PROTECTION, TYPE C WITH FILTER</v>
      </c>
      <c r="G394" s="22"/>
      <c r="H394" s="88"/>
      <c r="I394" s="88"/>
      <c r="J394" s="88"/>
      <c r="K394" s="88"/>
      <c r="L394" s="88"/>
      <c r="M394" s="88"/>
      <c r="N394" s="89"/>
      <c r="O394" s="88"/>
    </row>
    <row r="395" spans="1:15" x14ac:dyDescent="0.3">
      <c r="B395" s="28" t="s">
        <v>150</v>
      </c>
      <c r="D395" s="139">
        <f>15.25*1.118</f>
        <v>17.049500000000002</v>
      </c>
      <c r="E395" s="28" t="s">
        <v>34</v>
      </c>
      <c r="F395" s="137" t="s">
        <v>298</v>
      </c>
    </row>
    <row r="396" spans="1:15" x14ac:dyDescent="0.3">
      <c r="B396" s="28" t="s">
        <v>152</v>
      </c>
      <c r="D396" s="80">
        <f>23*1.118</f>
        <v>25.714000000000002</v>
      </c>
      <c r="E396" s="28" t="s">
        <v>34</v>
      </c>
      <c r="F396" s="137" t="s">
        <v>299</v>
      </c>
    </row>
    <row r="397" spans="1:15" x14ac:dyDescent="0.3">
      <c r="D397" s="80">
        <v>42.115000000000002</v>
      </c>
      <c r="E397" s="28" t="s">
        <v>34</v>
      </c>
      <c r="F397" s="28" t="s">
        <v>160</v>
      </c>
    </row>
    <row r="398" spans="1:15" x14ac:dyDescent="0.3">
      <c r="D398" s="82">
        <f>(D395+D396)*D397</f>
        <v>1800.9848025000003</v>
      </c>
      <c r="E398" s="28" t="s">
        <v>66</v>
      </c>
      <c r="F398" s="28" t="s">
        <v>154</v>
      </c>
    </row>
    <row r="399" spans="1:15" x14ac:dyDescent="0.3">
      <c r="D399" s="80">
        <v>2</v>
      </c>
      <c r="E399" s="28" t="s">
        <v>34</v>
      </c>
      <c r="F399" s="28" t="s">
        <v>142</v>
      </c>
    </row>
    <row r="400" spans="1:15" x14ac:dyDescent="0.3">
      <c r="D400" s="82">
        <f>D398*D399</f>
        <v>3601.9696050000007</v>
      </c>
      <c r="E400" s="28" t="s">
        <v>41</v>
      </c>
      <c r="F400" s="28" t="s">
        <v>76</v>
      </c>
    </row>
    <row r="401" spans="4:6" x14ac:dyDescent="0.3">
      <c r="D401" s="9">
        <f>D400/27</f>
        <v>133.4062816666667</v>
      </c>
      <c r="E401" s="10" t="s">
        <v>62</v>
      </c>
      <c r="F401" s="10" t="s">
        <v>76</v>
      </c>
    </row>
  </sheetData>
  <mergeCells count="4">
    <mergeCell ref="B7:O7"/>
    <mergeCell ref="B12:J13"/>
    <mergeCell ref="F226:O226"/>
    <mergeCell ref="F256:O256"/>
  </mergeCells>
  <pageMargins left="0.7" right="0.7" top="0.75" bottom="0.75" header="0.3" footer="0.3"/>
  <pageSetup scale="52" fitToHeight="0" orientation="landscape" r:id="rId1"/>
  <rowBreaks count="8" manualBreakCount="8">
    <brk id="56" min="1" max="14" man="1"/>
    <brk id="57" min="1" max="14" man="1"/>
    <brk id="120" min="1" max="14" man="1"/>
    <brk id="180" min="1" max="14" man="1"/>
    <brk id="225" min="1" max="14" man="1"/>
    <brk id="286" min="1" max="14" man="1"/>
    <brk id="342" min="1" max="14" man="1"/>
    <brk id="368" min="1" max="14" man="1"/>
  </rowBreaks>
  <colBreaks count="1" manualBreakCount="1">
    <brk id="15" max="514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27D9D2-6B69-47BC-8AE0-703862AFC9E8}">
  <dimension ref="B2:M45"/>
  <sheetViews>
    <sheetView tabSelected="1" workbookViewId="0">
      <selection activeCell="C12" sqref="C12"/>
    </sheetView>
  </sheetViews>
  <sheetFormatPr defaultRowHeight="13.2" x14ac:dyDescent="0.2"/>
  <cols>
    <col min="9" max="9" width="30.796875" customWidth="1"/>
    <col min="12" max="12" width="18.8984375" customWidth="1"/>
  </cols>
  <sheetData>
    <row r="2" spans="2:13" ht="13.8" thickBot="1" x14ac:dyDescent="0.25"/>
    <row r="3" spans="2:13" ht="14.4" x14ac:dyDescent="0.3">
      <c r="B3" s="181" t="s">
        <v>77</v>
      </c>
      <c r="C3" s="182"/>
      <c r="D3" s="182"/>
      <c r="E3" s="182"/>
      <c r="F3" s="182"/>
      <c r="G3" s="182"/>
      <c r="H3" s="182"/>
      <c r="I3" s="182"/>
      <c r="J3" s="155" t="s">
        <v>12</v>
      </c>
      <c r="K3" s="155" t="s">
        <v>301</v>
      </c>
      <c r="L3" s="155" t="s">
        <v>303</v>
      </c>
      <c r="M3" s="156"/>
    </row>
    <row r="4" spans="2:13" ht="14.4" x14ac:dyDescent="0.3">
      <c r="B4" s="183"/>
      <c r="C4" s="184"/>
      <c r="D4" s="184"/>
      <c r="E4" s="184"/>
      <c r="F4" s="184"/>
      <c r="G4" s="184"/>
      <c r="H4" s="184"/>
      <c r="I4" s="184"/>
      <c r="J4" s="116" t="s">
        <v>13</v>
      </c>
      <c r="K4" s="116" t="s">
        <v>302</v>
      </c>
      <c r="L4" s="116" t="s">
        <v>303</v>
      </c>
      <c r="M4" s="157"/>
    </row>
    <row r="5" spans="2:13" ht="15" thickBot="1" x14ac:dyDescent="0.35">
      <c r="B5" s="158" t="s">
        <v>14</v>
      </c>
      <c r="C5" s="159" t="s">
        <v>15</v>
      </c>
      <c r="D5" s="160" t="s">
        <v>16</v>
      </c>
      <c r="E5" s="159" t="s">
        <v>17</v>
      </c>
      <c r="F5" s="185" t="s">
        <v>18</v>
      </c>
      <c r="G5" s="186"/>
      <c r="H5" s="186"/>
      <c r="I5" s="186"/>
      <c r="J5" s="186"/>
      <c r="K5" s="186"/>
      <c r="L5" s="187"/>
      <c r="M5" s="161" t="s">
        <v>221</v>
      </c>
    </row>
    <row r="6" spans="2:13" ht="14.4" x14ac:dyDescent="0.3">
      <c r="B6" s="148">
        <f>'Stage 3'!B15</f>
        <v>202</v>
      </c>
      <c r="C6" s="149" t="str">
        <f>'Stage 3'!C15</f>
        <v>11203</v>
      </c>
      <c r="D6" s="118">
        <f>'Stage 3'!D15</f>
        <v>1</v>
      </c>
      <c r="E6" s="117" t="str">
        <f>'Stage 3'!E15</f>
        <v>LS</v>
      </c>
      <c r="F6" s="188" t="str">
        <f>'Stage 3'!F15</f>
        <v>PORTIONS OF STRUCTURE REMOVED, OVER 20 FOOT SPAN, AS PER PLAN</v>
      </c>
      <c r="G6" s="189"/>
      <c r="H6" s="189"/>
      <c r="I6" s="189"/>
      <c r="J6" s="189"/>
      <c r="K6" s="189"/>
      <c r="L6" s="190"/>
      <c r="M6" s="162" t="s">
        <v>249</v>
      </c>
    </row>
    <row r="7" spans="2:13" ht="14.4" x14ac:dyDescent="0.3">
      <c r="B7" s="145">
        <f>'Stage 3'!B16</f>
        <v>202</v>
      </c>
      <c r="C7" s="119">
        <f>'Stage 3'!C16</f>
        <v>22900</v>
      </c>
      <c r="D7" s="146">
        <f>'Stage 3'!D16</f>
        <v>212</v>
      </c>
      <c r="E7" s="147" t="str">
        <f>'Stage 3'!E16</f>
        <v>SY</v>
      </c>
      <c r="F7" s="178" t="str">
        <f>'Stage 3'!F16</f>
        <v>APPROACH SLAB REMOVED</v>
      </c>
      <c r="G7" s="179"/>
      <c r="H7" s="179"/>
      <c r="I7" s="179"/>
      <c r="J7" s="179"/>
      <c r="K7" s="179"/>
      <c r="L7" s="180"/>
      <c r="M7" s="163"/>
    </row>
    <row r="8" spans="2:13" ht="14.4" x14ac:dyDescent="0.3">
      <c r="B8" s="145"/>
      <c r="C8" s="119"/>
      <c r="D8" s="146"/>
      <c r="E8" s="147"/>
      <c r="F8" s="191"/>
      <c r="G8" s="192"/>
      <c r="H8" s="192"/>
      <c r="I8" s="192"/>
      <c r="J8" s="192"/>
      <c r="K8" s="192"/>
      <c r="L8" s="193"/>
      <c r="M8" s="163"/>
    </row>
    <row r="9" spans="2:13" ht="14.4" x14ac:dyDescent="0.3">
      <c r="B9" s="145">
        <f>'Stage 3'!B18</f>
        <v>203</v>
      </c>
      <c r="C9" s="119">
        <f>'Stage 3'!C18</f>
        <v>10000</v>
      </c>
      <c r="D9" s="146">
        <f>'Stage 3'!D18</f>
        <v>167</v>
      </c>
      <c r="E9" s="147" t="str">
        <f>'Stage 3'!E18</f>
        <v>CY</v>
      </c>
      <c r="F9" s="178" t="str">
        <f>'Stage 3'!F18</f>
        <v>EXCAVATION</v>
      </c>
      <c r="G9" s="179"/>
      <c r="H9" s="179"/>
      <c r="I9" s="179"/>
      <c r="J9" s="179"/>
      <c r="K9" s="179"/>
      <c r="L9" s="180"/>
      <c r="M9" s="163"/>
    </row>
    <row r="10" spans="2:13" ht="14.4" x14ac:dyDescent="0.3">
      <c r="B10" s="148"/>
      <c r="C10" s="149"/>
      <c r="D10" s="118"/>
      <c r="E10" s="117"/>
      <c r="F10" s="178"/>
      <c r="G10" s="179"/>
      <c r="H10" s="179"/>
      <c r="I10" s="179"/>
      <c r="J10" s="179"/>
      <c r="K10" s="179"/>
      <c r="L10" s="180"/>
      <c r="M10" s="163"/>
    </row>
    <row r="11" spans="2:13" ht="14.4" x14ac:dyDescent="0.3">
      <c r="B11" s="145">
        <f>'Stage 3'!B21</f>
        <v>503</v>
      </c>
      <c r="C11" s="119" t="str">
        <f>'Stage 3'!C21</f>
        <v>11101</v>
      </c>
      <c r="D11" s="146">
        <f>'Stage 3'!D21</f>
        <v>1</v>
      </c>
      <c r="E11" s="147" t="str">
        <f>'Stage 3'!E21</f>
        <v>LS</v>
      </c>
      <c r="F11" s="178" t="str">
        <f>'Stage 3'!F21</f>
        <v>COFFERDAMS AND EXCAVATION BRACING, AS PER PLAN</v>
      </c>
      <c r="G11" s="179"/>
      <c r="H11" s="179"/>
      <c r="I11" s="179"/>
      <c r="J11" s="179"/>
      <c r="K11" s="179"/>
      <c r="L11" s="180"/>
      <c r="M11" s="163" t="s">
        <v>304</v>
      </c>
    </row>
    <row r="12" spans="2:13" ht="14.4" x14ac:dyDescent="0.3">
      <c r="B12" s="145">
        <f>'Stage 3'!B22</f>
        <v>503</v>
      </c>
      <c r="C12" s="119" t="str">
        <f>'Stage 3'!C22</f>
        <v>21321</v>
      </c>
      <c r="D12" s="146">
        <f>'Stage 3'!D22</f>
        <v>1</v>
      </c>
      <c r="E12" s="147" t="str">
        <f>'Stage 3'!E22</f>
        <v>LS</v>
      </c>
      <c r="F12" s="178" t="str">
        <f>'Stage 3'!F22</f>
        <v>UNCLASSIFIED EXCAVATION, INCLUDING ROCK, AS PER PLAN</v>
      </c>
      <c r="G12" s="179"/>
      <c r="H12" s="179"/>
      <c r="I12" s="179"/>
      <c r="J12" s="179"/>
      <c r="K12" s="179"/>
      <c r="L12" s="180"/>
      <c r="M12" s="163" t="s">
        <v>249</v>
      </c>
    </row>
    <row r="13" spans="2:13" ht="14.4" x14ac:dyDescent="0.3">
      <c r="B13" s="145"/>
      <c r="C13" s="119"/>
      <c r="D13" s="118"/>
      <c r="E13" s="117"/>
      <c r="F13" s="191"/>
      <c r="G13" s="192"/>
      <c r="H13" s="192"/>
      <c r="I13" s="192"/>
      <c r="J13" s="192"/>
      <c r="K13" s="192"/>
      <c r="L13" s="193"/>
      <c r="M13" s="163"/>
    </row>
    <row r="14" spans="2:13" ht="14.4" x14ac:dyDescent="0.3">
      <c r="B14" s="145">
        <f>'Stage 3'!B24</f>
        <v>507</v>
      </c>
      <c r="C14" s="119" t="str">
        <f>'Stage 3'!C24</f>
        <v>00101</v>
      </c>
      <c r="D14" s="146">
        <f>'Stage 3'!D24</f>
        <v>400</v>
      </c>
      <c r="E14" s="147" t="str">
        <f>'Stage 3'!E24</f>
        <v>FT</v>
      </c>
      <c r="F14" s="178" t="str">
        <f>'Stage 3'!F24</f>
        <v>STEEL PILES HP10X42, FURNISHED, AS PER PLAN</v>
      </c>
      <c r="G14" s="179"/>
      <c r="H14" s="179"/>
      <c r="I14" s="179"/>
      <c r="J14" s="179"/>
      <c r="K14" s="179"/>
      <c r="L14" s="180"/>
      <c r="M14" s="163" t="s">
        <v>249</v>
      </c>
    </row>
    <row r="15" spans="2:13" ht="14.4" x14ac:dyDescent="0.3">
      <c r="B15" s="145">
        <f>'Stage 3'!B25</f>
        <v>507</v>
      </c>
      <c r="C15" s="119" t="str">
        <f>'Stage 3'!C25</f>
        <v>92201</v>
      </c>
      <c r="D15" s="146">
        <f>'Stage 3'!D25</f>
        <v>205</v>
      </c>
      <c r="E15" s="147" t="str">
        <f>'Stage 3'!E25</f>
        <v>FT</v>
      </c>
      <c r="F15" s="178" t="str">
        <f>'Stage 3'!F25</f>
        <v>PREBORED HOLES, AS PER PLAN</v>
      </c>
      <c r="G15" s="179"/>
      <c r="H15" s="179"/>
      <c r="I15" s="179"/>
      <c r="J15" s="179"/>
      <c r="K15" s="179"/>
      <c r="L15" s="180"/>
      <c r="M15" s="163" t="s">
        <v>249</v>
      </c>
    </row>
    <row r="16" spans="2:13" ht="14.4" x14ac:dyDescent="0.3">
      <c r="B16" s="148"/>
      <c r="C16" s="117"/>
      <c r="D16" s="118"/>
      <c r="E16" s="117"/>
      <c r="F16" s="191"/>
      <c r="G16" s="192"/>
      <c r="H16" s="192"/>
      <c r="I16" s="192"/>
      <c r="J16" s="192"/>
      <c r="K16" s="192"/>
      <c r="L16" s="193"/>
      <c r="M16" s="163"/>
    </row>
    <row r="17" spans="2:13" ht="14.4" x14ac:dyDescent="0.3">
      <c r="B17" s="145">
        <f>'Stage 3'!B27</f>
        <v>509</v>
      </c>
      <c r="C17" s="119" t="str">
        <f>'Stage 3'!C27</f>
        <v>10000</v>
      </c>
      <c r="D17" s="146">
        <f>'Stage 3'!D27</f>
        <v>47263</v>
      </c>
      <c r="E17" s="147" t="str">
        <f>'Stage 3'!E27</f>
        <v>LB</v>
      </c>
      <c r="F17" s="178" t="str">
        <f>'Stage 3'!F27</f>
        <v>EPOXY COATED STEEL REINFORCEMENT</v>
      </c>
      <c r="G17" s="179"/>
      <c r="H17" s="179"/>
      <c r="I17" s="179"/>
      <c r="J17" s="179"/>
      <c r="K17" s="179"/>
      <c r="L17" s="180"/>
      <c r="M17" s="163"/>
    </row>
    <row r="18" spans="2:13" ht="14.4" x14ac:dyDescent="0.3">
      <c r="B18" s="145"/>
      <c r="C18" s="119"/>
      <c r="D18" s="146"/>
      <c r="E18" s="147"/>
      <c r="F18" s="191"/>
      <c r="G18" s="192"/>
      <c r="H18" s="192"/>
      <c r="I18" s="192"/>
      <c r="J18" s="192"/>
      <c r="K18" s="192"/>
      <c r="L18" s="193"/>
      <c r="M18" s="163"/>
    </row>
    <row r="19" spans="2:13" ht="14.4" x14ac:dyDescent="0.3">
      <c r="B19" s="145">
        <f>'Stage 3'!B29</f>
        <v>511</v>
      </c>
      <c r="C19" s="119" t="str">
        <f>'Stage 3'!C29</f>
        <v>34446</v>
      </c>
      <c r="D19" s="146">
        <f>'Stage 3'!D29</f>
        <v>131</v>
      </c>
      <c r="E19" s="147" t="str">
        <f>'Stage 3'!E29</f>
        <v>CY</v>
      </c>
      <c r="F19" s="178" t="str">
        <f>'Stage 3'!F29</f>
        <v>CLASS QC2 CONCRETE WITH QC/QA, BRIDGE DECK</v>
      </c>
      <c r="G19" s="179"/>
      <c r="H19" s="179"/>
      <c r="I19" s="179"/>
      <c r="J19" s="179"/>
      <c r="K19" s="179"/>
      <c r="L19" s="180"/>
      <c r="M19" s="163"/>
    </row>
    <row r="20" spans="2:13" ht="14.4" x14ac:dyDescent="0.3">
      <c r="B20" s="145">
        <f>'Stage 3'!B30</f>
        <v>511</v>
      </c>
      <c r="C20" s="119" t="str">
        <f>'Stage 3'!C30</f>
        <v>43512</v>
      </c>
      <c r="D20" s="146">
        <f>'Stage 3'!D30</f>
        <v>146</v>
      </c>
      <c r="E20" s="147" t="str">
        <f>'Stage 3'!E30</f>
        <v>CY</v>
      </c>
      <c r="F20" s="178" t="str">
        <f>'Stage 3'!F30</f>
        <v>CLASS QC1 CONCRETE WITH QC/QA, ABUTMENT INCLUDING FOOTING</v>
      </c>
      <c r="G20" s="179"/>
      <c r="H20" s="179"/>
      <c r="I20" s="179"/>
      <c r="J20" s="179"/>
      <c r="K20" s="179"/>
      <c r="L20" s="180"/>
      <c r="M20" s="163"/>
    </row>
    <row r="21" spans="2:13" ht="14.4" x14ac:dyDescent="0.3">
      <c r="B21" s="145"/>
      <c r="C21" s="119"/>
      <c r="D21" s="146"/>
      <c r="E21" s="147"/>
      <c r="F21" s="178"/>
      <c r="G21" s="179"/>
      <c r="H21" s="179"/>
      <c r="I21" s="179"/>
      <c r="J21" s="179"/>
      <c r="K21" s="179"/>
      <c r="L21" s="180"/>
      <c r="M21" s="163"/>
    </row>
    <row r="22" spans="2:13" ht="14.4" x14ac:dyDescent="0.3">
      <c r="B22" s="145">
        <f>'Stage 3'!B32</f>
        <v>512</v>
      </c>
      <c r="C22" s="119">
        <f>'Stage 3'!C32</f>
        <v>10100</v>
      </c>
      <c r="D22" s="146">
        <f>'Stage 3'!D32</f>
        <v>324</v>
      </c>
      <c r="E22" s="147" t="str">
        <f>'Stage 3'!E32</f>
        <v>SY</v>
      </c>
      <c r="F22" s="178" t="str">
        <f>'Stage 3'!F32</f>
        <v>SEALING OF CONCRETE SURFACES (EPOXY-URETHANE)</v>
      </c>
      <c r="G22" s="179"/>
      <c r="H22" s="179"/>
      <c r="I22" s="179"/>
      <c r="J22" s="179"/>
      <c r="K22" s="179"/>
      <c r="L22" s="180"/>
      <c r="M22" s="163"/>
    </row>
    <row r="23" spans="2:13" ht="14.4" x14ac:dyDescent="0.3">
      <c r="B23" s="145"/>
      <c r="C23" s="119"/>
      <c r="D23" s="146"/>
      <c r="E23" s="147"/>
      <c r="F23" s="178"/>
      <c r="G23" s="179"/>
      <c r="H23" s="179"/>
      <c r="I23" s="179"/>
      <c r="J23" s="179"/>
      <c r="K23" s="179"/>
      <c r="L23" s="180"/>
      <c r="M23" s="163"/>
    </row>
    <row r="24" spans="2:13" ht="14.4" x14ac:dyDescent="0.3">
      <c r="B24" s="145">
        <f>'Stage 3'!B34</f>
        <v>515</v>
      </c>
      <c r="C24" s="119" t="str">
        <f>'Stage 3'!C34</f>
        <v>15010</v>
      </c>
      <c r="D24" s="146">
        <f>'Stage 3'!D34</f>
        <v>5</v>
      </c>
      <c r="E24" s="147" t="str">
        <f>'Stage 3'!E34</f>
        <v>EACH</v>
      </c>
      <c r="F24" s="178" t="str">
        <f>'Stage 3'!F34</f>
        <v>DRAPED STRAND PRESTRESSED CONCRETE BRIDGE I-BEAM MEMBERS, LEVEL 3, TYPE 3 (LENGTH = 76'-4")</v>
      </c>
      <c r="G24" s="179"/>
      <c r="H24" s="179"/>
      <c r="I24" s="179"/>
      <c r="J24" s="179"/>
      <c r="K24" s="179"/>
      <c r="L24" s="180"/>
      <c r="M24" s="163"/>
    </row>
    <row r="25" spans="2:13" ht="14.4" x14ac:dyDescent="0.3">
      <c r="B25" s="145">
        <f>'Stage 3'!B35</f>
        <v>515</v>
      </c>
      <c r="C25" s="119" t="str">
        <f>'Stage 3'!C35</f>
        <v>20000</v>
      </c>
      <c r="D25" s="146">
        <f>'Stage 3'!D35</f>
        <v>4</v>
      </c>
      <c r="E25" s="147" t="str">
        <f>'Stage 3'!E35</f>
        <v>EACH</v>
      </c>
      <c r="F25" s="178" t="str">
        <f>'Stage 3'!F35</f>
        <v>INTERMEDIATE DIAPHRAGMS</v>
      </c>
      <c r="G25" s="179"/>
      <c r="H25" s="179"/>
      <c r="I25" s="179"/>
      <c r="J25" s="179"/>
      <c r="K25" s="179"/>
      <c r="L25" s="180"/>
      <c r="M25" s="163"/>
    </row>
    <row r="26" spans="2:13" ht="14.4" x14ac:dyDescent="0.3">
      <c r="B26" s="151"/>
      <c r="C26" s="152"/>
      <c r="D26" s="150"/>
      <c r="E26" s="153"/>
      <c r="F26" s="178"/>
      <c r="G26" s="179"/>
      <c r="H26" s="179"/>
      <c r="I26" s="179"/>
      <c r="J26" s="179"/>
      <c r="K26" s="179"/>
      <c r="L26" s="180"/>
      <c r="M26" s="163"/>
    </row>
    <row r="27" spans="2:13" ht="14.4" x14ac:dyDescent="0.3">
      <c r="B27" s="145">
        <f>'Stage 3'!B37</f>
        <v>516</v>
      </c>
      <c r="C27" s="119" t="str">
        <f>'Stage 3'!C37</f>
        <v>13200</v>
      </c>
      <c r="D27" s="146">
        <f>'Stage 3'!D37</f>
        <v>79</v>
      </c>
      <c r="E27" s="147" t="str">
        <f>'Stage 3'!E37</f>
        <v>SF</v>
      </c>
      <c r="F27" s="178" t="str">
        <f>'Stage 3'!F37</f>
        <v>1/2" PREFORMED EXPANSION JOINT FILLER</v>
      </c>
      <c r="G27" s="179"/>
      <c r="H27" s="179"/>
      <c r="I27" s="179"/>
      <c r="J27" s="179"/>
      <c r="K27" s="179"/>
      <c r="L27" s="180"/>
      <c r="M27" s="163"/>
    </row>
    <row r="28" spans="2:13" ht="14.4" x14ac:dyDescent="0.3">
      <c r="B28" s="145">
        <f>'Stage 3'!B38</f>
        <v>516</v>
      </c>
      <c r="C28" s="119" t="str">
        <f>'Stage 3'!C38</f>
        <v>13600</v>
      </c>
      <c r="D28" s="146">
        <f>'Stage 3'!D38</f>
        <v>82</v>
      </c>
      <c r="E28" s="147" t="str">
        <f>'Stage 3'!E38</f>
        <v>SF</v>
      </c>
      <c r="F28" s="178" t="str">
        <f>'Stage 3'!F38</f>
        <v>1" PREFORMED EXPANSION JOINT FILLER</v>
      </c>
      <c r="G28" s="179"/>
      <c r="H28" s="179"/>
      <c r="I28" s="179"/>
      <c r="J28" s="179"/>
      <c r="K28" s="179"/>
      <c r="L28" s="180"/>
      <c r="M28" s="163"/>
    </row>
    <row r="29" spans="2:13" ht="14.4" x14ac:dyDescent="0.3">
      <c r="B29" s="145">
        <f>'Stage 3'!B39</f>
        <v>516</v>
      </c>
      <c r="C29" s="119" t="str">
        <f>'Stage 3'!C39</f>
        <v>13900</v>
      </c>
      <c r="D29" s="146">
        <f>'Stage 3'!D39</f>
        <v>65</v>
      </c>
      <c r="E29" s="147" t="str">
        <f>'Stage 3'!E39</f>
        <v>SF</v>
      </c>
      <c r="F29" s="178" t="str">
        <f>'Stage 3'!F39</f>
        <v>2" PREFORMED EXPANSION JOINT FILLER</v>
      </c>
      <c r="G29" s="179"/>
      <c r="H29" s="179"/>
      <c r="I29" s="179"/>
      <c r="J29" s="179"/>
      <c r="K29" s="179"/>
      <c r="L29" s="180"/>
      <c r="M29" s="163"/>
    </row>
    <row r="30" spans="2:13" ht="14.4" x14ac:dyDescent="0.3">
      <c r="B30" s="145">
        <f>'Stage 3'!B40</f>
        <v>516</v>
      </c>
      <c r="C30" s="119" t="str">
        <f>'Stage 3'!C40</f>
        <v>14014</v>
      </c>
      <c r="D30" s="146">
        <f>'Stage 3'!D40</f>
        <v>104.676</v>
      </c>
      <c r="E30" s="147" t="str">
        <f>'Stage 3'!E40</f>
        <v>FT</v>
      </c>
      <c r="F30" s="178" t="str">
        <f>'Stage 3'!F40</f>
        <v>INTEGRAL ABUTMENT EXPANSION JOINT SEAL</v>
      </c>
      <c r="G30" s="179"/>
      <c r="H30" s="179"/>
      <c r="I30" s="179"/>
      <c r="J30" s="179"/>
      <c r="K30" s="179"/>
      <c r="L30" s="180"/>
      <c r="M30" s="164"/>
    </row>
    <row r="31" spans="2:13" ht="14.4" x14ac:dyDescent="0.3">
      <c r="B31" s="145">
        <f>'Stage 3'!B41</f>
        <v>516</v>
      </c>
      <c r="C31" s="119" t="str">
        <f>'Stage 3'!C41</f>
        <v>44001</v>
      </c>
      <c r="D31" s="146">
        <f>'Stage 3'!D41</f>
        <v>10</v>
      </c>
      <c r="E31" s="147" t="str">
        <f>'Stage 3'!E41</f>
        <v>EACH</v>
      </c>
      <c r="F31" s="178" t="str">
        <f>'Stage 3'!F41</f>
        <v>1'-4" x 1'-0" x 1 7/8" ELASTOMERIC BEARING WITH INTERNAL LAMINATES AND LOAD PLATE 1'-5" x 1'-1" x 1 1/2" (NEOPRENE), AS PER PLAN</v>
      </c>
      <c r="G31" s="179"/>
      <c r="H31" s="179"/>
      <c r="I31" s="179"/>
      <c r="J31" s="179"/>
      <c r="K31" s="179"/>
      <c r="L31" s="180"/>
      <c r="M31" s="165" t="s">
        <v>250</v>
      </c>
    </row>
    <row r="32" spans="2:13" ht="14.4" x14ac:dyDescent="0.3">
      <c r="B32" s="151"/>
      <c r="C32" s="152"/>
      <c r="D32" s="146"/>
      <c r="E32" s="153"/>
      <c r="F32" s="178"/>
      <c r="G32" s="179"/>
      <c r="H32" s="179"/>
      <c r="I32" s="179"/>
      <c r="J32" s="179"/>
      <c r="K32" s="179"/>
      <c r="L32" s="180"/>
      <c r="M32" s="164"/>
    </row>
    <row r="33" spans="2:13" ht="14.4" x14ac:dyDescent="0.3">
      <c r="B33" s="145">
        <f>'Stage 3'!B43</f>
        <v>517</v>
      </c>
      <c r="C33" s="119" t="str">
        <f>'Stage 3'!C43</f>
        <v>70100</v>
      </c>
      <c r="D33" s="146">
        <f>'Stage 3'!D43</f>
        <v>181.66</v>
      </c>
      <c r="E33" s="147" t="str">
        <f>'Stage 3'!E43</f>
        <v>FT</v>
      </c>
      <c r="F33" s="178" t="str">
        <f>'Stage 3'!F43</f>
        <v>RAILING (THREE STEEL TUBE BRIDGE RAILING)</v>
      </c>
      <c r="G33" s="179"/>
      <c r="H33" s="179"/>
      <c r="I33" s="179"/>
      <c r="J33" s="179"/>
      <c r="K33" s="179"/>
      <c r="L33" s="180"/>
      <c r="M33" s="164"/>
    </row>
    <row r="34" spans="2:13" ht="14.4" x14ac:dyDescent="0.3">
      <c r="B34" s="151"/>
      <c r="C34" s="152"/>
      <c r="D34" s="146"/>
      <c r="E34" s="153"/>
      <c r="F34" s="178"/>
      <c r="G34" s="179"/>
      <c r="H34" s="179"/>
      <c r="I34" s="179"/>
      <c r="J34" s="179"/>
      <c r="K34" s="179"/>
      <c r="L34" s="180"/>
      <c r="M34" s="164"/>
    </row>
    <row r="35" spans="2:13" ht="14.4" x14ac:dyDescent="0.3">
      <c r="B35" s="145">
        <f>'Stage 3'!B45</f>
        <v>518</v>
      </c>
      <c r="C35" s="119" t="str">
        <f>'Stage 3'!C45</f>
        <v>21201</v>
      </c>
      <c r="D35" s="146">
        <f>'Stage 3'!D45</f>
        <v>352</v>
      </c>
      <c r="E35" s="147" t="str">
        <f>'Stage 3'!E45</f>
        <v>CY</v>
      </c>
      <c r="F35" s="178" t="str">
        <f>'Stage 3'!F45</f>
        <v>POROUS BACKFILL WITH GEOTEXTILE FABRIC, AS PER PLAN</v>
      </c>
      <c r="G35" s="179"/>
      <c r="H35" s="179"/>
      <c r="I35" s="179"/>
      <c r="J35" s="179"/>
      <c r="K35" s="179"/>
      <c r="L35" s="180"/>
      <c r="M35" s="166" t="s">
        <v>249</v>
      </c>
    </row>
    <row r="36" spans="2:13" ht="14.4" x14ac:dyDescent="0.3">
      <c r="B36" s="145">
        <f>'Stage 3'!B46</f>
        <v>518</v>
      </c>
      <c r="C36" s="119" t="str">
        <f>'Stage 3'!C46</f>
        <v>40000</v>
      </c>
      <c r="D36" s="146">
        <f>'Stage 3'!D46</f>
        <v>147</v>
      </c>
      <c r="E36" s="147" t="str">
        <f>'Stage 3'!E46</f>
        <v>FT</v>
      </c>
      <c r="F36" s="178" t="str">
        <f>'Stage 3'!F46</f>
        <v>6" PERFORATED CORRUGATED PLASTIC PIPE</v>
      </c>
      <c r="G36" s="179"/>
      <c r="H36" s="179"/>
      <c r="I36" s="179"/>
      <c r="J36" s="179"/>
      <c r="K36" s="179"/>
      <c r="L36" s="180"/>
      <c r="M36" s="164"/>
    </row>
    <row r="37" spans="2:13" ht="14.4" x14ac:dyDescent="0.3">
      <c r="B37" s="145">
        <f>'Stage 3'!B47</f>
        <v>518</v>
      </c>
      <c r="C37" s="119" t="str">
        <f>'Stage 3'!C47</f>
        <v>40010</v>
      </c>
      <c r="D37" s="146">
        <f>'Stage 3'!D47</f>
        <v>60</v>
      </c>
      <c r="E37" s="147" t="str">
        <f>'Stage 3'!E47</f>
        <v>FT</v>
      </c>
      <c r="F37" s="178" t="str">
        <f>'Stage 3'!F47</f>
        <v>6" NON-PERFORATED CORRUGATED PLASTIC PIPE, INCLUDING SPECIALS</v>
      </c>
      <c r="G37" s="179"/>
      <c r="H37" s="179"/>
      <c r="I37" s="179"/>
      <c r="J37" s="179"/>
      <c r="K37" s="179"/>
      <c r="L37" s="180"/>
      <c r="M37" s="164"/>
    </row>
    <row r="38" spans="2:13" ht="14.4" x14ac:dyDescent="0.3">
      <c r="B38" s="151"/>
      <c r="C38" s="152"/>
      <c r="D38" s="146"/>
      <c r="E38" s="153"/>
      <c r="F38" s="178"/>
      <c r="G38" s="179"/>
      <c r="H38" s="179"/>
      <c r="I38" s="179"/>
      <c r="J38" s="179"/>
      <c r="K38" s="179"/>
      <c r="L38" s="180"/>
      <c r="M38" s="164"/>
    </row>
    <row r="39" spans="2:13" ht="14.4" x14ac:dyDescent="0.3">
      <c r="B39" s="145">
        <f>'Stage 3'!B49</f>
        <v>526</v>
      </c>
      <c r="C39" s="119" t="str">
        <f>'Stage 3'!C49</f>
        <v>15010</v>
      </c>
      <c r="D39" s="146">
        <f>'Stage 3'!D49</f>
        <v>161</v>
      </c>
      <c r="E39" s="147" t="str">
        <f>'Stage 3'!E49</f>
        <v>SY</v>
      </c>
      <c r="F39" s="178" t="str">
        <f>'Stage 3'!F49</f>
        <v>REINFORCED CONCRETE APPROACH SLABS WITH QC/QA (T=13")</v>
      </c>
      <c r="G39" s="179"/>
      <c r="H39" s="179"/>
      <c r="I39" s="179"/>
      <c r="J39" s="179"/>
      <c r="K39" s="179"/>
      <c r="L39" s="180"/>
      <c r="M39" s="164"/>
    </row>
    <row r="40" spans="2:13" ht="13.2" customHeight="1" x14ac:dyDescent="0.3">
      <c r="B40" s="145">
        <f>'Stage 3'!B50</f>
        <v>526</v>
      </c>
      <c r="C40" s="119">
        <f>'Stage 3'!C50</f>
        <v>90010</v>
      </c>
      <c r="D40" s="146">
        <f>'Stage 3'!D50</f>
        <v>72</v>
      </c>
      <c r="E40" s="147" t="str">
        <f>'Stage 3'!E50</f>
        <v>FT</v>
      </c>
      <c r="F40" s="178" t="str">
        <f>'Stage 3'!F50</f>
        <v>TYPE A INSTALLATION</v>
      </c>
      <c r="G40" s="179"/>
      <c r="H40" s="179"/>
      <c r="I40" s="179"/>
      <c r="J40" s="179"/>
      <c r="K40" s="179"/>
      <c r="L40" s="180"/>
      <c r="M40" s="164"/>
    </row>
    <row r="41" spans="2:13" ht="14.4" x14ac:dyDescent="0.3">
      <c r="B41" s="151"/>
      <c r="C41" s="152"/>
      <c r="D41" s="150"/>
      <c r="E41" s="153"/>
      <c r="F41" s="178"/>
      <c r="G41" s="179"/>
      <c r="H41" s="179"/>
      <c r="I41" s="179"/>
      <c r="J41" s="179"/>
      <c r="K41" s="179"/>
      <c r="L41" s="180"/>
      <c r="M41" s="164"/>
    </row>
    <row r="42" spans="2:13" ht="14.4" x14ac:dyDescent="0.3">
      <c r="B42" s="145">
        <f>'Stage 3'!B52</f>
        <v>601</v>
      </c>
      <c r="C42" s="119" t="str">
        <f>'Stage 3'!C52</f>
        <v>32200</v>
      </c>
      <c r="D42" s="146">
        <f>'Stage 3'!D52</f>
        <v>134</v>
      </c>
      <c r="E42" s="147" t="str">
        <f>'Stage 3'!E52</f>
        <v>CY</v>
      </c>
      <c r="F42" s="178" t="str">
        <f>'Stage 3'!F52</f>
        <v>ROCK CHANNEL PROTECTION, TYPE C WITH FILTER</v>
      </c>
      <c r="G42" s="179"/>
      <c r="H42" s="179"/>
      <c r="I42" s="179"/>
      <c r="J42" s="179"/>
      <c r="K42" s="179"/>
      <c r="L42" s="180"/>
      <c r="M42" s="164"/>
    </row>
    <row r="43" spans="2:13" ht="14.4" x14ac:dyDescent="0.3">
      <c r="B43" s="151"/>
      <c r="C43" s="152"/>
      <c r="D43" s="146"/>
      <c r="E43" s="153"/>
      <c r="F43" s="178"/>
      <c r="G43" s="179"/>
      <c r="H43" s="179"/>
      <c r="I43" s="179"/>
      <c r="J43" s="179"/>
      <c r="K43" s="179"/>
      <c r="L43" s="180"/>
      <c r="M43" s="164"/>
    </row>
    <row r="44" spans="2:13" ht="14.4" x14ac:dyDescent="0.3">
      <c r="B44" s="145">
        <f>'Stage 3'!B54</f>
        <v>625</v>
      </c>
      <c r="C44" s="119" t="str">
        <f>'Stage 3'!C54</f>
        <v>33000</v>
      </c>
      <c r="D44" s="146">
        <f>'Stage 3'!D54</f>
        <v>1</v>
      </c>
      <c r="E44" s="147" t="str">
        <f>'Stage 3'!E54</f>
        <v>EA</v>
      </c>
      <c r="F44" s="178" t="str">
        <f>'Stage 3'!F54</f>
        <v>STRUCTURE GROUNDING SYSTEM</v>
      </c>
      <c r="G44" s="179"/>
      <c r="H44" s="179"/>
      <c r="I44" s="179"/>
      <c r="J44" s="179"/>
      <c r="K44" s="179"/>
      <c r="L44" s="180"/>
      <c r="M44" s="164"/>
    </row>
    <row r="45" spans="2:13" ht="15" thickBot="1" x14ac:dyDescent="0.35">
      <c r="B45" s="167"/>
      <c r="C45" s="168"/>
      <c r="D45" s="169"/>
      <c r="E45" s="170"/>
      <c r="F45" s="194"/>
      <c r="G45" s="195"/>
      <c r="H45" s="195"/>
      <c r="I45" s="195"/>
      <c r="J45" s="195"/>
      <c r="K45" s="195"/>
      <c r="L45" s="196"/>
      <c r="M45" s="171"/>
    </row>
  </sheetData>
  <mergeCells count="42">
    <mergeCell ref="F41:L41"/>
    <mergeCell ref="F42:L42"/>
    <mergeCell ref="F43:L43"/>
    <mergeCell ref="F44:L44"/>
    <mergeCell ref="F45:L45"/>
    <mergeCell ref="F33:L33"/>
    <mergeCell ref="F34:L34"/>
    <mergeCell ref="F35:L35"/>
    <mergeCell ref="F36:L36"/>
    <mergeCell ref="F37:L37"/>
    <mergeCell ref="F28:L28"/>
    <mergeCell ref="F29:L29"/>
    <mergeCell ref="F30:L30"/>
    <mergeCell ref="F31:L31"/>
    <mergeCell ref="F32:L32"/>
    <mergeCell ref="F39:L39"/>
    <mergeCell ref="F40:L40"/>
    <mergeCell ref="F26:L26"/>
    <mergeCell ref="F15:L15"/>
    <mergeCell ref="F16:L16"/>
    <mergeCell ref="F17:L17"/>
    <mergeCell ref="F18:L18"/>
    <mergeCell ref="F19:L19"/>
    <mergeCell ref="F20:L20"/>
    <mergeCell ref="F21:L21"/>
    <mergeCell ref="F22:L22"/>
    <mergeCell ref="F23:L23"/>
    <mergeCell ref="F24:L24"/>
    <mergeCell ref="F25:L25"/>
    <mergeCell ref="F38:L38"/>
    <mergeCell ref="F27:L27"/>
    <mergeCell ref="F14:L14"/>
    <mergeCell ref="B3:I4"/>
    <mergeCell ref="F5:L5"/>
    <mergeCell ref="F6:L6"/>
    <mergeCell ref="F7:L7"/>
    <mergeCell ref="F8:L8"/>
    <mergeCell ref="F9:L9"/>
    <mergeCell ref="F10:L10"/>
    <mergeCell ref="F11:L11"/>
    <mergeCell ref="F12:L12"/>
    <mergeCell ref="F13:L13"/>
  </mergeCells>
  <pageMargins left="0.7" right="0.7" top="0.75" bottom="0.75" header="0.3" footer="0.3"/>
  <pageSetup paperSize="9" orientation="portrait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Stage 2</vt:lpstr>
      <vt:lpstr>Stage 3</vt:lpstr>
      <vt:lpstr>AutoTable</vt:lpstr>
      <vt:lpstr>'Stage 2'!Print_Area</vt:lpstr>
      <vt:lpstr>'Stage 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Less, Tom</dc:creator>
  <cp:lastModifiedBy>Rychlik, Bradley</cp:lastModifiedBy>
  <cp:lastPrinted>2024-09-09T20:42:17Z</cp:lastPrinted>
  <dcterms:created xsi:type="dcterms:W3CDTF">2023-04-11T13:55:36Z</dcterms:created>
  <dcterms:modified xsi:type="dcterms:W3CDTF">2025-02-12T14:14:48Z</dcterms:modified>
</cp:coreProperties>
</file>